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65341" windowWidth="14865" windowHeight="8475" activeTab="0"/>
  </bookViews>
  <sheets>
    <sheet name="7-1-21 - 10-31-21 (4 quarter)" sheetId="1" r:id="rId1"/>
    <sheet name="3-1-21 - 6-30-21 (3 quarter)" sheetId="2" state="hidden" r:id="rId2"/>
    <sheet name="11-1-20 - 2-28-21 (2 quarter)" sheetId="3" state="hidden" r:id="rId3"/>
    <sheet name="7-31-20 - 10-30-20 (1 quarter)" sheetId="4" state="hidden" r:id="rId4"/>
  </sheets>
  <definedNames>
    <definedName name="_xlnm.Print_Area" localSheetId="2">'11-1-20 - 2-28-21 (2 quarter)'!$A$1:$G$334</definedName>
    <definedName name="_xlnm.Print_Area" localSheetId="1">'3-1-21 - 6-30-21 (3 quarter)'!$A$1:$G$410</definedName>
    <definedName name="_xlnm.Print_Area" localSheetId="0">'7-1-21 - 10-31-21 (4 quarter)'!$A$1:$G$298</definedName>
    <definedName name="_xlnm.Print_Area" localSheetId="3">'7-31-20 - 10-30-20 (1 quarter)'!$A$1:$G$238</definedName>
  </definedNames>
  <calcPr fullCalcOnLoad="1"/>
</workbook>
</file>

<file path=xl/sharedStrings.xml><?xml version="1.0" encoding="utf-8"?>
<sst xmlns="http://schemas.openxmlformats.org/spreadsheetml/2006/main" count="1284" uniqueCount="849">
  <si>
    <t>PLAYER NAME</t>
  </si>
  <si>
    <t>RANK</t>
  </si>
  <si>
    <t>TOTAL</t>
  </si>
  <si>
    <t>TOP 32 QUALIFIER'S</t>
  </si>
  <si>
    <t>TOP 10 POINT LEADERS</t>
  </si>
  <si>
    <t>TOP 10 SUB'S</t>
  </si>
  <si>
    <t>Green, Nancy</t>
  </si>
  <si>
    <t>Walker, Q</t>
  </si>
  <si>
    <t>Allen, Lizanne</t>
  </si>
  <si>
    <t>Boyer, Amber</t>
  </si>
  <si>
    <t>Clark, Susie</t>
  </si>
  <si>
    <t>Hussein, Gigi</t>
  </si>
  <si>
    <t>Williams, Terry</t>
  </si>
  <si>
    <t>Bishop, Scott</t>
  </si>
  <si>
    <t>Gonzalez, Ralph</t>
  </si>
  <si>
    <t>Henderson, Kim</t>
  </si>
  <si>
    <t>Mayberry, Don</t>
  </si>
  <si>
    <t>Rottman, Thomas</t>
  </si>
  <si>
    <t>Allen, Stephanie</t>
  </si>
  <si>
    <t>Wall, Jo Ann</t>
  </si>
  <si>
    <t>Cook, Connell</t>
  </si>
  <si>
    <t>Facundo, Tony</t>
  </si>
  <si>
    <t>Ledbetter, Bobby</t>
  </si>
  <si>
    <t>Neatherlin, Bryan</t>
  </si>
  <si>
    <t>Crossland, Rob</t>
  </si>
  <si>
    <t>Dudley, Damien</t>
  </si>
  <si>
    <t>Caballero, Alex</t>
  </si>
  <si>
    <t>Corbitt, Glen</t>
  </si>
  <si>
    <t>Altamirano, Jose</t>
  </si>
  <si>
    <t>Reyes, Jonathan</t>
  </si>
  <si>
    <t>Facundo, Maria</t>
  </si>
  <si>
    <t>Patrawala, Ali</t>
  </si>
  <si>
    <t>Powers, David</t>
  </si>
  <si>
    <t>Irlas,  Victoria</t>
  </si>
  <si>
    <t>McIntosh, Robert</t>
  </si>
  <si>
    <t>Woods, Aaron</t>
  </si>
  <si>
    <t>Ballard, Bobby</t>
  </si>
  <si>
    <t>QUARTERLY MAIN EVENT</t>
  </si>
  <si>
    <t>JULY</t>
  </si>
  <si>
    <t>AUG</t>
  </si>
  <si>
    <t>SEPT</t>
  </si>
  <si>
    <t>OCT</t>
  </si>
  <si>
    <t>Patrawala, Salim</t>
  </si>
  <si>
    <t>Brown, Jeff</t>
  </si>
  <si>
    <t>Whatley, Brandy</t>
  </si>
  <si>
    <t>Goodwin, Don</t>
  </si>
  <si>
    <t>Welch, Jack</t>
  </si>
  <si>
    <t>Torres, Nancy</t>
  </si>
  <si>
    <t>Cortez, Javier</t>
  </si>
  <si>
    <t>Rios, Angel</t>
  </si>
  <si>
    <t>Archie, Ramone</t>
  </si>
  <si>
    <t>Fosteer, Robert</t>
  </si>
  <si>
    <t>Jackson, Malik</t>
  </si>
  <si>
    <t>Varela, Fernando</t>
  </si>
  <si>
    <t>Johnston, Patricia</t>
  </si>
  <si>
    <t>Herrera, Eric</t>
  </si>
  <si>
    <t>Campbell, Chris</t>
  </si>
  <si>
    <t>Santos, Charles</t>
  </si>
  <si>
    <t>Santos, Amanda</t>
  </si>
  <si>
    <t>Craft, Brittany</t>
  </si>
  <si>
    <t>Swindell, Mark</t>
  </si>
  <si>
    <t>Bennett, Jim</t>
  </si>
  <si>
    <t>Chambers, Sarah</t>
  </si>
  <si>
    <t>Blankenship, Miichael</t>
  </si>
  <si>
    <t>Waters, Kevin</t>
  </si>
  <si>
    <t>Betancourt, David</t>
  </si>
  <si>
    <t>Eastlack, Mike</t>
  </si>
  <si>
    <t>Ross, David</t>
  </si>
  <si>
    <t>Castillo, Jesus</t>
  </si>
  <si>
    <t>Dominguez, Ricardo</t>
  </si>
  <si>
    <t>Jiminez, Cindy</t>
  </si>
  <si>
    <t>Lee, Ellis</t>
  </si>
  <si>
    <t>Steigeswalt, Nick</t>
  </si>
  <si>
    <t>Carr, Desean</t>
  </si>
  <si>
    <t>Leigh, Ellis</t>
  </si>
  <si>
    <t>Reddig, Jennie</t>
  </si>
  <si>
    <t>Basela, Fernando</t>
  </si>
  <si>
    <t>Talleos, John</t>
  </si>
  <si>
    <t>Reddig, Jim</t>
  </si>
  <si>
    <t>Sherman, Greg</t>
  </si>
  <si>
    <t>Wagstaff, Roger</t>
  </si>
  <si>
    <t>Salinas, Joey</t>
  </si>
  <si>
    <t>Jackson, Ernesto</t>
  </si>
  <si>
    <t>Spence, Brian</t>
  </si>
  <si>
    <t>McPeake, Matt</t>
  </si>
  <si>
    <t>Rushton, Julie</t>
  </si>
  <si>
    <t>LoFland, Billy</t>
  </si>
  <si>
    <t>Payne, Kim</t>
  </si>
  <si>
    <t>Nguyen, Peter</t>
  </si>
  <si>
    <t>John, Jimmy</t>
  </si>
  <si>
    <t>Jackson, Edwin</t>
  </si>
  <si>
    <t>Frazier, Jaime</t>
  </si>
  <si>
    <t>Navarro, Jeremy</t>
  </si>
  <si>
    <t>Clevland, Wendy</t>
  </si>
  <si>
    <t>Niemi, Dan</t>
  </si>
  <si>
    <t>Gallison, Stephanie</t>
  </si>
  <si>
    <t>Davis, Mike</t>
  </si>
  <si>
    <t>Smith, Shawn</t>
  </si>
  <si>
    <t>Perez, Jason</t>
  </si>
  <si>
    <t>Ramon, Alfaro</t>
  </si>
  <si>
    <t>Wyatt, Joel</t>
  </si>
  <si>
    <t>Beckel, Ricki</t>
  </si>
  <si>
    <t>Hoang, Khanh</t>
  </si>
  <si>
    <t>Cooper, Matt</t>
  </si>
  <si>
    <t>Beckel, David</t>
  </si>
  <si>
    <t>Wyatt, Debra</t>
  </si>
  <si>
    <t>Navarro, Josh</t>
  </si>
  <si>
    <t>Bray, Deanna</t>
  </si>
  <si>
    <t>Aggos, Julia</t>
  </si>
  <si>
    <t>Lack, Tom</t>
  </si>
  <si>
    <t>Alvarez, Albert</t>
  </si>
  <si>
    <t>Magallan, Savannah</t>
  </si>
  <si>
    <t>Lack, Tina</t>
  </si>
  <si>
    <t>Cox, Leanette</t>
  </si>
  <si>
    <t>Watson, Robert</t>
  </si>
  <si>
    <t>Robbins, Randy</t>
  </si>
  <si>
    <t>Mora, Sylvia</t>
  </si>
  <si>
    <t>Coranedo, Noe</t>
  </si>
  <si>
    <t>Culpepper, Scott</t>
  </si>
  <si>
    <t>Bennett, Curtis</t>
  </si>
  <si>
    <t>McGlothlin, Justin</t>
  </si>
  <si>
    <t>Sheppard, Greg</t>
  </si>
  <si>
    <t>Caudillo, Johnny</t>
  </si>
  <si>
    <t>Land, Jason</t>
  </si>
  <si>
    <t>Coronado, Noe</t>
  </si>
  <si>
    <t>Kanchwala, Shabbir</t>
  </si>
  <si>
    <t>McCully, Angie</t>
  </si>
  <si>
    <t>Westerhaus, Harley</t>
  </si>
  <si>
    <t>Gunter, Sheena</t>
  </si>
  <si>
    <t>Love, Bill</t>
  </si>
  <si>
    <t>Holaway, Mendy</t>
  </si>
  <si>
    <t>Holaway, Jimmy</t>
  </si>
  <si>
    <t>Allen, Racquel</t>
  </si>
  <si>
    <t>Allen, Nick</t>
  </si>
  <si>
    <t>Todd, Teri</t>
  </si>
  <si>
    <t>Shea, James</t>
  </si>
  <si>
    <t>Christy, Debra</t>
  </si>
  <si>
    <t>Barker, Jason</t>
  </si>
  <si>
    <t>Chittenden, Bebo</t>
  </si>
  <si>
    <t>Pladers, Jon</t>
  </si>
  <si>
    <t>Patel, Suny</t>
  </si>
  <si>
    <t>Tullock, Robert</t>
  </si>
  <si>
    <t>Powers, Laura</t>
  </si>
  <si>
    <t>Sullivan, James</t>
  </si>
  <si>
    <t>Chance, Daniel</t>
  </si>
  <si>
    <t>Elliott, Andrea</t>
  </si>
  <si>
    <t>Giles, Rick</t>
  </si>
  <si>
    <t>King, Paul</t>
  </si>
  <si>
    <t>Seith, Ann</t>
  </si>
  <si>
    <t>Case, Devynn</t>
  </si>
  <si>
    <t>Hawkins, Michael</t>
  </si>
  <si>
    <t>Ullom, Zeb</t>
  </si>
  <si>
    <t>Waldie, Karen</t>
  </si>
  <si>
    <t>Albro, Carl</t>
  </si>
  <si>
    <t>Gilstrop, Manny</t>
  </si>
  <si>
    <t>Attaway, Justin</t>
  </si>
  <si>
    <t>Clay, Kenny</t>
  </si>
  <si>
    <t>Tompkins, James</t>
  </si>
  <si>
    <t>Cardone, Frank</t>
  </si>
  <si>
    <t>Guzman, Marlene</t>
  </si>
  <si>
    <t>Moore, Anthony</t>
  </si>
  <si>
    <t>Johnson, Jojo</t>
  </si>
  <si>
    <t>Cloud, John</t>
  </si>
  <si>
    <t>Vasques, Rolando</t>
  </si>
  <si>
    <t>Leonard, John</t>
  </si>
  <si>
    <t>Davidson, Cory</t>
  </si>
  <si>
    <t>Toles, Angela</t>
  </si>
  <si>
    <t>Tolleson, Mike</t>
  </si>
  <si>
    <t>Alleman, Tim</t>
  </si>
  <si>
    <t>Vanover, Pepe</t>
  </si>
  <si>
    <t>Davidson, Joanne</t>
  </si>
  <si>
    <t>Sims, Chris</t>
  </si>
  <si>
    <t>Roe, Charlie</t>
  </si>
  <si>
    <t>Shea, Richard</t>
  </si>
  <si>
    <t>Herring, Tony</t>
  </si>
  <si>
    <t>Roe, Beth</t>
  </si>
  <si>
    <t>Wonders, Robert</t>
  </si>
  <si>
    <t>Knox, Chris</t>
  </si>
  <si>
    <t>Long, Clint</t>
  </si>
  <si>
    <t>Brabhara, Jack</t>
  </si>
  <si>
    <t>Morales, Jorge</t>
  </si>
  <si>
    <t>Bennett, James</t>
  </si>
  <si>
    <t>Mauge, Harry</t>
  </si>
  <si>
    <t>McClain, Thomas</t>
  </si>
  <si>
    <t>Murr, Michael</t>
  </si>
  <si>
    <t>Osborne, Ron</t>
  </si>
  <si>
    <t>Boner, Karen</t>
  </si>
  <si>
    <t>Tucker, Laura</t>
  </si>
  <si>
    <t>Larkin, Brontrick</t>
  </si>
  <si>
    <t>Neal, Aaron</t>
  </si>
  <si>
    <t>Wong, Chad</t>
  </si>
  <si>
    <t>Rodriguez, Kevin</t>
  </si>
  <si>
    <t>Stewart, Sarah</t>
  </si>
  <si>
    <t>Phillips, Stephan</t>
  </si>
  <si>
    <t>Britton, Stephanie</t>
  </si>
  <si>
    <t>Ullom, Alison</t>
  </si>
  <si>
    <t>Stephens, Branden</t>
  </si>
  <si>
    <t>Deanda, Marissa</t>
  </si>
  <si>
    <t>Deanda, Blake</t>
  </si>
  <si>
    <t>Cadenhead, Kenneth</t>
  </si>
  <si>
    <t>Parrot, Dickey</t>
  </si>
  <si>
    <t>Butler, Amanda</t>
  </si>
  <si>
    <t>Compton, Nate</t>
  </si>
  <si>
    <t>Kenney, Christi</t>
  </si>
  <si>
    <t>Lee, Jennifer</t>
  </si>
  <si>
    <t>Tront, Greg</t>
  </si>
  <si>
    <t>Anderson, Reid</t>
  </si>
  <si>
    <t>Hall, Michael</t>
  </si>
  <si>
    <t>Parker, Scott</t>
  </si>
  <si>
    <t>Parker, Dante</t>
  </si>
  <si>
    <t>Jackson, Abraham</t>
  </si>
  <si>
    <t>Robinson, Mike</t>
  </si>
  <si>
    <t>Clay, Kalee</t>
  </si>
  <si>
    <t>Robinson, Andy</t>
  </si>
  <si>
    <t>Wonders, Sarah</t>
  </si>
  <si>
    <t>Cancel, Erik</t>
  </si>
  <si>
    <t>Shea, David</t>
  </si>
  <si>
    <t>Wonders, Nancy</t>
  </si>
  <si>
    <t>McNelly, Milo</t>
  </si>
  <si>
    <t>Colon, Jorge</t>
  </si>
  <si>
    <t>Burson, Landen</t>
  </si>
  <si>
    <t>Ramirez, Ray</t>
  </si>
  <si>
    <t>Amador, Frankie</t>
  </si>
  <si>
    <t>Williams, David</t>
  </si>
  <si>
    <t>Granado, Noe</t>
  </si>
  <si>
    <t>Brown, Bud</t>
  </si>
  <si>
    <t>Swiney, Erwin</t>
  </si>
  <si>
    <t>Swiney, Cameron</t>
  </si>
  <si>
    <t>Walker, Shawn</t>
  </si>
  <si>
    <t>Barker, Mikhail</t>
  </si>
  <si>
    <t>Tetreault, Joe</t>
  </si>
  <si>
    <t>Crutcher, Lindsey</t>
  </si>
  <si>
    <t>Lake, Phillipe</t>
  </si>
  <si>
    <t>Cloud, David</t>
  </si>
  <si>
    <t>Jarnagin, Renee</t>
  </si>
  <si>
    <t>Bryan, Matt</t>
  </si>
  <si>
    <t>Ehricsh, Tom</t>
  </si>
  <si>
    <t>LANDMARK ON DECEMBER 5th @ 2:00 P.M.</t>
  </si>
  <si>
    <t>GRAND CASH PRIZE: $350</t>
  </si>
  <si>
    <t>NOV</t>
  </si>
  <si>
    <t>DEC</t>
  </si>
  <si>
    <t>JAN</t>
  </si>
  <si>
    <t>FEB</t>
  </si>
  <si>
    <t>Dillon, Dan</t>
  </si>
  <si>
    <t>Barrett, Cody</t>
  </si>
  <si>
    <t>Todd, Terri</t>
  </si>
  <si>
    <t>Barrett, Kristi</t>
  </si>
  <si>
    <t>Hunt, Anthony</t>
  </si>
  <si>
    <t>Reda, Ryan</t>
  </si>
  <si>
    <t>Wiseman, James</t>
  </si>
  <si>
    <t>Alliokekanaka, Oni</t>
  </si>
  <si>
    <t>Larkin, Desean</t>
  </si>
  <si>
    <t>Miller, Mike</t>
  </si>
  <si>
    <t>Tracy, Krystal</t>
  </si>
  <si>
    <t>Malko, Amy</t>
  </si>
  <si>
    <t>Mergell, Jamie</t>
  </si>
  <si>
    <t>Moon, Alex</t>
  </si>
  <si>
    <t>Meadows, Vince</t>
  </si>
  <si>
    <t>Golas, Lacy</t>
  </si>
  <si>
    <t>Johnson, Barry</t>
  </si>
  <si>
    <t>Clay, Hunter</t>
  </si>
  <si>
    <t>Bolt, Paul</t>
  </si>
  <si>
    <t>Lawhon, CD</t>
  </si>
  <si>
    <t>Naucke, Cathy</t>
  </si>
  <si>
    <t>Naucke, Josh</t>
  </si>
  <si>
    <t>Thompson, Crystal</t>
  </si>
  <si>
    <t>Hill, Jeremiah</t>
  </si>
  <si>
    <t>Johnston, Kristin</t>
  </si>
  <si>
    <t>White, Dustin</t>
  </si>
  <si>
    <t>Patrawala, Nafisa</t>
  </si>
  <si>
    <t>Guardado, Tanya</t>
  </si>
  <si>
    <t>Ceballus, Mika</t>
  </si>
  <si>
    <t>Schaffer, John</t>
  </si>
  <si>
    <t>Swiney, Otis</t>
  </si>
  <si>
    <t>Speets, Mike</t>
  </si>
  <si>
    <t>Guardado, Rudy</t>
  </si>
  <si>
    <t>Tracy, Raymond</t>
  </si>
  <si>
    <t>Jiminez, Jimmy</t>
  </si>
  <si>
    <t>Saeed, Abdullah</t>
  </si>
  <si>
    <t>Smith, Jordan</t>
  </si>
  <si>
    <t>Andrade, Miguel</t>
  </si>
  <si>
    <t>Troung, Phillip</t>
  </si>
  <si>
    <t>Estes, Kaitlan</t>
  </si>
  <si>
    <t>Antimori, Tony</t>
  </si>
  <si>
    <t>Arriaga, Richard</t>
  </si>
  <si>
    <t>Aciiohokauaka, Derek</t>
  </si>
  <si>
    <t>Hillhouse, Kevin</t>
  </si>
  <si>
    <t>McIntosh, Chris</t>
  </si>
  <si>
    <t>Tipton, Steve</t>
  </si>
  <si>
    <t>Kuehl, Dillion</t>
  </si>
  <si>
    <t>Davis, Joan</t>
  </si>
  <si>
    <t>Nicholson, Larry</t>
  </si>
  <si>
    <t>Carr, Heather</t>
  </si>
  <si>
    <t>Tutt, Rob</t>
  </si>
  <si>
    <t>Rosas, Ramone</t>
  </si>
  <si>
    <t>Ramirez, Juan</t>
  </si>
  <si>
    <t>Lewis, Jameel</t>
  </si>
  <si>
    <t>Martinez, David</t>
  </si>
  <si>
    <t>Stepp, Rufus</t>
  </si>
  <si>
    <t>Eudy, Justin</t>
  </si>
  <si>
    <t>Butterworth, Jason</t>
  </si>
  <si>
    <t>Crow, Cindi</t>
  </si>
  <si>
    <t>Davis, Adrian</t>
  </si>
  <si>
    <t>Cleveland, Wendy</t>
  </si>
  <si>
    <t>Aggas, Julia</t>
  </si>
  <si>
    <t>Skinner, Michael</t>
  </si>
  <si>
    <t>Borde, Tom</t>
  </si>
  <si>
    <t>Harmon, Matt</t>
  </si>
  <si>
    <t>Rushing, Keith</t>
  </si>
  <si>
    <t>Fletcher, Brad</t>
  </si>
  <si>
    <t>Camp, Joan</t>
  </si>
  <si>
    <t>Nichols, Kim</t>
  </si>
  <si>
    <t>Lecompte, Bob</t>
  </si>
  <si>
    <t>Brittian, Stephanie</t>
  </si>
  <si>
    <t>Brison, Bredan</t>
  </si>
  <si>
    <t>Dove, Debbie</t>
  </si>
  <si>
    <t>Nassief, John</t>
  </si>
  <si>
    <t>Germic, Ron</t>
  </si>
  <si>
    <t>George, Matthew</t>
  </si>
  <si>
    <t>Pineda, Robert</t>
  </si>
  <si>
    <t>Parham, Bobby</t>
  </si>
  <si>
    <t>Cox, Sean</t>
  </si>
  <si>
    <t>Ginest, Ella</t>
  </si>
  <si>
    <t>Parrett, Dickey</t>
  </si>
  <si>
    <t>Rottman, Tommy</t>
  </si>
  <si>
    <t>Schaffer, Carol</t>
  </si>
  <si>
    <t>Reed, Jeff</t>
  </si>
  <si>
    <t>Hatten, Roderick</t>
  </si>
  <si>
    <t>Dentry, Devin</t>
  </si>
  <si>
    <t>Endsley, Dustin</t>
  </si>
  <si>
    <t>Clay, Marvell</t>
  </si>
  <si>
    <t>Graves, David</t>
  </si>
  <si>
    <t>Steigerwalt, Nick</t>
  </si>
  <si>
    <t>Bergran, John</t>
  </si>
  <si>
    <t>Combs, Chuck</t>
  </si>
  <si>
    <t>Carrubba, Brian</t>
  </si>
  <si>
    <t>Arnold, Kala</t>
  </si>
  <si>
    <t>Staples, Cory</t>
  </si>
  <si>
    <t>Soto, Josue</t>
  </si>
  <si>
    <t>Tafoya, Jorge</t>
  </si>
  <si>
    <t>Huseman, Kent</t>
  </si>
  <si>
    <t>Bratcher, Greg</t>
  </si>
  <si>
    <t>Rivera, Shawn</t>
  </si>
  <si>
    <t>Cochran, Brandie</t>
  </si>
  <si>
    <t>Gonzales, Ralph</t>
  </si>
  <si>
    <t>Moore, Jonathan</t>
  </si>
  <si>
    <t>Granado, Rudy</t>
  </si>
  <si>
    <t>Burnett, Mary</t>
  </si>
  <si>
    <t>Walker, John</t>
  </si>
  <si>
    <t>Taylor, Carole</t>
  </si>
  <si>
    <t>Gentry, Devin</t>
  </si>
  <si>
    <t>Redwine, Wade</t>
  </si>
  <si>
    <t>Squires, Darren</t>
  </si>
  <si>
    <t>Castellanos, Dorothy</t>
  </si>
  <si>
    <t>Cook, Daniel</t>
  </si>
  <si>
    <t>Anderson, Steve</t>
  </si>
  <si>
    <t>Fiello, Samson</t>
  </si>
  <si>
    <t>Taufa, Salesi</t>
  </si>
  <si>
    <t>Paul, Danny</t>
  </si>
  <si>
    <t>Ruff, Dee</t>
  </si>
  <si>
    <t>Doering, Lynley</t>
  </si>
  <si>
    <t>Fuller, Edward</t>
  </si>
  <si>
    <t>Powell, Zachary</t>
  </si>
  <si>
    <t>Brame, Blair</t>
  </si>
  <si>
    <t>Faggins, Omar</t>
  </si>
  <si>
    <t>Anderson, James</t>
  </si>
  <si>
    <t>Parker, Tristen</t>
  </si>
  <si>
    <t>Young, Jonathan</t>
  </si>
  <si>
    <t>Rodriguez, John</t>
  </si>
  <si>
    <t>Cawthon, Vance</t>
  </si>
  <si>
    <t>Carr, Deshawn</t>
  </si>
  <si>
    <t>Blanchet, Jim</t>
  </si>
  <si>
    <t>Blanchet, Lori</t>
  </si>
  <si>
    <t>Grimes, Eric</t>
  </si>
  <si>
    <t>Fletcher, Zach</t>
  </si>
  <si>
    <t>Cornett, Hope</t>
  </si>
  <si>
    <t>Zamora, James</t>
  </si>
  <si>
    <t>Koch, Brian</t>
  </si>
  <si>
    <t>Wittstruck, Gary</t>
  </si>
  <si>
    <t>Conger, Robert</t>
  </si>
  <si>
    <t>Bland, Josh</t>
  </si>
  <si>
    <t>McKenzie, Nathan</t>
  </si>
  <si>
    <t>Dejulian, Marco</t>
  </si>
  <si>
    <t>Marquez,Jose</t>
  </si>
  <si>
    <t>Griffen, Kim</t>
  </si>
  <si>
    <t>Hoelles, Lance</t>
  </si>
  <si>
    <t>Stout, Eric</t>
  </si>
  <si>
    <t>Anderson, Seth</t>
  </si>
  <si>
    <t>Hiatt, Susan</t>
  </si>
  <si>
    <t>Anderson, Jason</t>
  </si>
  <si>
    <t>Alvarez, Ceilia</t>
  </si>
  <si>
    <t>Stovall, Tambra</t>
  </si>
  <si>
    <t>Grimes, Debra</t>
  </si>
  <si>
    <t>Plyler, Randy</t>
  </si>
  <si>
    <t>Burton, Wendy</t>
  </si>
  <si>
    <t>Bradley, Scott</t>
  </si>
  <si>
    <t>Aviles, Samuel</t>
  </si>
  <si>
    <t>Boyd, James</t>
  </si>
  <si>
    <t>Van, Darius</t>
  </si>
  <si>
    <t>Bolt, David</t>
  </si>
  <si>
    <t>Murski, Mike</t>
  </si>
  <si>
    <t>Denstedt, Devin</t>
  </si>
  <si>
    <t>Fisher, Dewayn</t>
  </si>
  <si>
    <t>Park, Sherry</t>
  </si>
  <si>
    <t>Christoffel, Rob</t>
  </si>
  <si>
    <t>Bernal, Oracio</t>
  </si>
  <si>
    <t>Yo, Jimmy</t>
  </si>
  <si>
    <t>Biddle, Jessica</t>
  </si>
  <si>
    <t>Miller, Juli</t>
  </si>
  <si>
    <t>Stevens, Tiffany</t>
  </si>
  <si>
    <t>Miller, Bill</t>
  </si>
  <si>
    <t>Grimes, Joanne</t>
  </si>
  <si>
    <t>Boyer, Keith</t>
  </si>
  <si>
    <t>Christoffel, Amanda</t>
  </si>
  <si>
    <t>Vo, Timmy</t>
  </si>
  <si>
    <t>Herron, Tony</t>
  </si>
  <si>
    <t>Heilman, Jim</t>
  </si>
  <si>
    <t>Hernandez, Michael</t>
  </si>
  <si>
    <t>Marak, Drea</t>
  </si>
  <si>
    <t>Lumpp, Adrian</t>
  </si>
  <si>
    <t>Hoskinson, Dale</t>
  </si>
  <si>
    <t>Holland, Michael</t>
  </si>
  <si>
    <t>Spillman, Vance</t>
  </si>
  <si>
    <t>Scarbough, Robert</t>
  </si>
  <si>
    <t>Hodges, Wes</t>
  </si>
  <si>
    <t>Pitrucha, Justin</t>
  </si>
  <si>
    <t>Cathey, Jack</t>
  </si>
  <si>
    <t>Craig, Kate</t>
  </si>
  <si>
    <t>Wells, Chris</t>
  </si>
  <si>
    <t>Embrey, Kyle</t>
  </si>
  <si>
    <t>Villarreal, Ozzie</t>
  </si>
  <si>
    <t>Tucker, Josh</t>
  </si>
  <si>
    <t>Summers, Shane</t>
  </si>
  <si>
    <t>Simerly, Rob</t>
  </si>
  <si>
    <t>Magellan, Savannah</t>
  </si>
  <si>
    <t>MARCH 14th / LANDMARK / 1:00 PM</t>
  </si>
  <si>
    <t>Nau, Simone</t>
  </si>
  <si>
    <t>Cortez, Bravo</t>
  </si>
  <si>
    <t>Negretew, Maria</t>
  </si>
  <si>
    <t>Rodriguez, Emmanuel</t>
  </si>
  <si>
    <t>Jewell, Billy</t>
  </si>
  <si>
    <t>Polk, Melvin</t>
  </si>
  <si>
    <t>Harris, Justin</t>
  </si>
  <si>
    <t>Ivey, Jason</t>
  </si>
  <si>
    <t>King, Kates</t>
  </si>
  <si>
    <t>Garcia, Austin</t>
  </si>
  <si>
    <t>Yarbro, David</t>
  </si>
  <si>
    <t>GRAND CASH PRIZE: $600</t>
  </si>
  <si>
    <t>MARCH</t>
  </si>
  <si>
    <t>APRIL</t>
  </si>
  <si>
    <t>MAY</t>
  </si>
  <si>
    <t>JUNE</t>
  </si>
  <si>
    <t>Hoeller, Lance</t>
  </si>
  <si>
    <t>Danlanilghen, Darius</t>
  </si>
  <si>
    <t>Sloane, John</t>
  </si>
  <si>
    <t>Mims, Randy</t>
  </si>
  <si>
    <t>Sheridan, Shawn</t>
  </si>
  <si>
    <t>Toon, David</t>
  </si>
  <si>
    <t>Dutton, Bruce</t>
  </si>
  <si>
    <t>Cole, JC</t>
  </si>
  <si>
    <t>Hall, Darrell</t>
  </si>
  <si>
    <t>Davis, Ray</t>
  </si>
  <si>
    <t>Smalley, Eric</t>
  </si>
  <si>
    <t>Felan, Tehramy</t>
  </si>
  <si>
    <t>King, Ben</t>
  </si>
  <si>
    <t>Paruszewsk, Jim</t>
  </si>
  <si>
    <t>Holston, Thomas</t>
  </si>
  <si>
    <t>McLeroy, Mitchell</t>
  </si>
  <si>
    <t>Dersoir, Daniel</t>
  </si>
  <si>
    <t>Newbill, Mike</t>
  </si>
  <si>
    <t>Cooke, Daniel</t>
  </si>
  <si>
    <t>Moore, Michael</t>
  </si>
  <si>
    <t>Escalona, Sanuel</t>
  </si>
  <si>
    <t>Jackson, Mark</t>
  </si>
  <si>
    <t>Heggins, Isahiah</t>
  </si>
  <si>
    <t>Walker, Joe</t>
  </si>
  <si>
    <t>Dott, Paul</t>
  </si>
  <si>
    <t>Parr, Robin</t>
  </si>
  <si>
    <t>Navarro, Ismael</t>
  </si>
  <si>
    <t>Jones, Damarcus</t>
  </si>
  <si>
    <t>Millican, Aaron</t>
  </si>
  <si>
    <t>Washington, Kris</t>
  </si>
  <si>
    <t>Avilas, Samuel</t>
  </si>
  <si>
    <t>Screphans, Cade</t>
  </si>
  <si>
    <t>Truoney, Philip</t>
  </si>
  <si>
    <t>Rios, Luis</t>
  </si>
  <si>
    <t>Henderson, Monica</t>
  </si>
  <si>
    <t>Price, Gerry</t>
  </si>
  <si>
    <t>Simerly, Michelle</t>
  </si>
  <si>
    <t>James. Elton</t>
  </si>
  <si>
    <t>Cole, Jerry</t>
  </si>
  <si>
    <t>Roe, Matthew</t>
  </si>
  <si>
    <t>Fonts, Scott</t>
  </si>
  <si>
    <t>Boyer, Matt</t>
  </si>
  <si>
    <t>Mendez, Ricky</t>
  </si>
  <si>
    <t>Galusha, Ken</t>
  </si>
  <si>
    <t>King, Kater</t>
  </si>
  <si>
    <t>Matthews, James</t>
  </si>
  <si>
    <t>Allen, Brian</t>
  </si>
  <si>
    <t>Ray, Steven</t>
  </si>
  <si>
    <t>Chambers, Chris</t>
  </si>
  <si>
    <t>Edwards, Michael</t>
  </si>
  <si>
    <t>Jones, Elton</t>
  </si>
  <si>
    <t>Calloway, Eric</t>
  </si>
  <si>
    <t>Driver, Artabus</t>
  </si>
  <si>
    <t>Cellini, Roberto</t>
  </si>
  <si>
    <t>Torres, Rob</t>
  </si>
  <si>
    <t>Mcalvin, Gibson</t>
  </si>
  <si>
    <t>Sullivan, Cylinda</t>
  </si>
  <si>
    <t>Verbano, Ray</t>
  </si>
  <si>
    <t>Delrosario, Hector</t>
  </si>
  <si>
    <t>Stevenson, Blake</t>
  </si>
  <si>
    <t>Heuer, Lee</t>
  </si>
  <si>
    <t>Vance, Seth</t>
  </si>
  <si>
    <t>Irlas, Victoria</t>
  </si>
  <si>
    <t>Nguyen, Jared</t>
  </si>
  <si>
    <t>Fields, Kaylor</t>
  </si>
  <si>
    <t>Carroll, Sam Sr.</t>
  </si>
  <si>
    <t>Lockhart, Dave</t>
  </si>
  <si>
    <t>Smith, Mark</t>
  </si>
  <si>
    <t>Pitrucha, Angelina</t>
  </si>
  <si>
    <t>Sage, Laura</t>
  </si>
  <si>
    <t>Anarado, Rudy</t>
  </si>
  <si>
    <t>Grazier, Ryan</t>
  </si>
  <si>
    <t>Carr, Deshaun</t>
  </si>
  <si>
    <t>Weaver, Daryle</t>
  </si>
  <si>
    <t>Wright, Dusty</t>
  </si>
  <si>
    <t>Potts, Michael</t>
  </si>
  <si>
    <t>McDaniel, Gene</t>
  </si>
  <si>
    <t>Cuntine, Trudy</t>
  </si>
  <si>
    <t>Malone, Rick</t>
  </si>
  <si>
    <t>Foster, Bob</t>
  </si>
  <si>
    <t>Howard, Heath</t>
  </si>
  <si>
    <t>Morgan, Tbone</t>
  </si>
  <si>
    <t>Rios, Adrian</t>
  </si>
  <si>
    <t>Guzman, Marien</t>
  </si>
  <si>
    <t>Blake, Bart</t>
  </si>
  <si>
    <t>Large, Mandy</t>
  </si>
  <si>
    <t>Moorman, Gerry</t>
  </si>
  <si>
    <t>Negrete, Michael</t>
  </si>
  <si>
    <t>Sikes, Ian</t>
  </si>
  <si>
    <t>Arellano, Hiedi</t>
  </si>
  <si>
    <t>Arellano, Lee</t>
  </si>
  <si>
    <t>Burson, Landon</t>
  </si>
  <si>
    <t>Crenshaw, Lauren</t>
  </si>
  <si>
    <t>Crenshaw, Chris</t>
  </si>
  <si>
    <t>Boedeker, Beau</t>
  </si>
  <si>
    <t>Dudley, Drake</t>
  </si>
  <si>
    <t>Manry, Meredith</t>
  </si>
  <si>
    <t>Robertson, Travis</t>
  </si>
  <si>
    <t>Clifton, Chris</t>
  </si>
  <si>
    <t>Abila, Aaron</t>
  </si>
  <si>
    <t>Viss, Jacob</t>
  </si>
  <si>
    <t>Gallison, John</t>
  </si>
  <si>
    <t>Moreland, Elvis</t>
  </si>
  <si>
    <t>Price, Bobby</t>
  </si>
  <si>
    <t>Betoncourt, David</t>
  </si>
  <si>
    <t>Lopez, Josh</t>
  </si>
  <si>
    <t>Negrete, Angelica</t>
  </si>
  <si>
    <t>Harmon, Curtis</t>
  </si>
  <si>
    <t>Gonzalez, Marc</t>
  </si>
  <si>
    <t>Miller, Greg</t>
  </si>
  <si>
    <t>Westerhaus, Hailey</t>
  </si>
  <si>
    <t>Rosas, Ramon</t>
  </si>
  <si>
    <t>Miller, Karen</t>
  </si>
  <si>
    <t>Green, Chris</t>
  </si>
  <si>
    <t>Gregory, Annetta</t>
  </si>
  <si>
    <t>Milam, Bill</t>
  </si>
  <si>
    <t>Becker, Christi</t>
  </si>
  <si>
    <t>Becker, Randy</t>
  </si>
  <si>
    <t>Saucier, Dontrell</t>
  </si>
  <si>
    <t>Mayne, Chris</t>
  </si>
  <si>
    <t>Grizzaffi, John</t>
  </si>
  <si>
    <t>Trung, Tran</t>
  </si>
  <si>
    <t>Grizzaffi, Vicki</t>
  </si>
  <si>
    <t>Thach, Mylien</t>
  </si>
  <si>
    <t>Cline, Chris</t>
  </si>
  <si>
    <t>Gidding, Jon</t>
  </si>
  <si>
    <t>Martinez, Jake</t>
  </si>
  <si>
    <t>Blame, Blair</t>
  </si>
  <si>
    <t>Holland, Billy</t>
  </si>
  <si>
    <t>Blakenship, Michael</t>
  </si>
  <si>
    <t>Springer, Terry</t>
  </si>
  <si>
    <t>Gaither, Chris</t>
  </si>
  <si>
    <t>Firneno, Mike</t>
  </si>
  <si>
    <t>Porales, Bobby</t>
  </si>
  <si>
    <t>Diss, Randy</t>
  </si>
  <si>
    <t>Bush, Bobby</t>
  </si>
  <si>
    <t>Aranado, Rudy</t>
  </si>
  <si>
    <t>Alvarez, Victiory</t>
  </si>
  <si>
    <t>Mendez, Charles</t>
  </si>
  <si>
    <t>Price, David</t>
  </si>
  <si>
    <t>Thun, Visit</t>
  </si>
  <si>
    <t>Taylor, Dwayne</t>
  </si>
  <si>
    <t>Luna, Dillon</t>
  </si>
  <si>
    <t>Johnson, Kaley</t>
  </si>
  <si>
    <t>Woodruff, Brandon</t>
  </si>
  <si>
    <t>Mergell, Amy</t>
  </si>
  <si>
    <t>Develrou, Daynal</t>
  </si>
  <si>
    <t>Cox, Jermaine</t>
  </si>
  <si>
    <t>Hicks, Matthew</t>
  </si>
  <si>
    <t>Martinez, Juan</t>
  </si>
  <si>
    <t>Ruiz, Rosa</t>
  </si>
  <si>
    <t>Espinosa, Brandon</t>
  </si>
  <si>
    <t>Kanchwala, Alifayah</t>
  </si>
  <si>
    <t>Kester, Colin</t>
  </si>
  <si>
    <t>Herrera, Ethan</t>
  </si>
  <si>
    <t>Schell, Barbara</t>
  </si>
  <si>
    <t>Ross, Michael</t>
  </si>
  <si>
    <t>Salinas, Robbie</t>
  </si>
  <si>
    <t>Wonders, Bob</t>
  </si>
  <si>
    <t>Shadaei, Mehdi</t>
  </si>
  <si>
    <t>Crabtree, Christina</t>
  </si>
  <si>
    <t>Grove, Tom</t>
  </si>
  <si>
    <t>Stone, Jody</t>
  </si>
  <si>
    <t>Johnson, Lisa</t>
  </si>
  <si>
    <t>Miller, CJ</t>
  </si>
  <si>
    <t>Dauenel, Debra</t>
  </si>
  <si>
    <t>Ray, Austin</t>
  </si>
  <si>
    <t>Herrera, Mathew</t>
  </si>
  <si>
    <t>McCrun, Chris</t>
  </si>
  <si>
    <t>Hines, Kenny</t>
  </si>
  <si>
    <t>Duehak, Melinda</t>
  </si>
  <si>
    <t>Minnich, Michael</t>
  </si>
  <si>
    <t>Thompson, James</t>
  </si>
  <si>
    <t>Berry, Davis</t>
  </si>
  <si>
    <t>Hardin, Gary</t>
  </si>
  <si>
    <t>Duehak, Dean</t>
  </si>
  <si>
    <t>Whitford, Dusty</t>
  </si>
  <si>
    <t>Valfdez, Ali</t>
  </si>
  <si>
    <t>Cvik, Cheryl</t>
  </si>
  <si>
    <t>Labansat, Gilbert</t>
  </si>
  <si>
    <t>Winingar, Austin</t>
  </si>
  <si>
    <t>Ahmed, Slim</t>
  </si>
  <si>
    <t>Vasquez, Bismavek</t>
  </si>
  <si>
    <t>Medina, Renan</t>
  </si>
  <si>
    <t>Moody, Jeremah</t>
  </si>
  <si>
    <t>Stone, Kenlee</t>
  </si>
  <si>
    <t>Stevens, David</t>
  </si>
  <si>
    <t>Stevens, Jerry</t>
  </si>
  <si>
    <t>Kurtz, Matt</t>
  </si>
  <si>
    <t>Call, Will</t>
  </si>
  <si>
    <t>Burrello, Adam</t>
  </si>
  <si>
    <t>Parris, Nadya</t>
  </si>
  <si>
    <t>Gonzales, Staci</t>
  </si>
  <si>
    <t>Glass, Andy</t>
  </si>
  <si>
    <t>Beck, Ellen</t>
  </si>
  <si>
    <t>Otis, Carol</t>
  </si>
  <si>
    <t>Jones, Lee</t>
  </si>
  <si>
    <t>Allred, Scott</t>
  </si>
  <si>
    <t>Philip, Chuck</t>
  </si>
  <si>
    <t>Steigherwalt, Nick</t>
  </si>
  <si>
    <t>Ator, Doug</t>
  </si>
  <si>
    <t>McNeal, River</t>
  </si>
  <si>
    <t>Norris, Chris</t>
  </si>
  <si>
    <t>McMorris, Tyler</t>
  </si>
  <si>
    <t>Dennis, Justin</t>
  </si>
  <si>
    <t>Ross, Andrew</t>
  </si>
  <si>
    <t>Chase, Sam</t>
  </si>
  <si>
    <t>Duncan, Steven</t>
  </si>
  <si>
    <t>Rojas, Christina</t>
  </si>
  <si>
    <t>Jones, Pierson</t>
  </si>
  <si>
    <t>White, Johnny</t>
  </si>
  <si>
    <t>Cortes, Henry</t>
  </si>
  <si>
    <t>Bonza, Walt</t>
  </si>
  <si>
    <t>Hunter, Randy</t>
  </si>
  <si>
    <t>Sanchez, Janet</t>
  </si>
  <si>
    <t>Velenzuela, David</t>
  </si>
  <si>
    <t>Ben, Jarrett</t>
  </si>
  <si>
    <t>Wiseman, Heather</t>
  </si>
  <si>
    <t>Becker, Calab</t>
  </si>
  <si>
    <t>Brown, Shelly</t>
  </si>
  <si>
    <t>Hooper, Jamie</t>
  </si>
  <si>
    <t>Siske, Jayson</t>
  </si>
  <si>
    <t>Castaneda, Juan</t>
  </si>
  <si>
    <t>Boerum, Tim</t>
  </si>
  <si>
    <t>Ramos, Raymond</t>
  </si>
  <si>
    <t>Crawford, Braxton</t>
  </si>
  <si>
    <t>Newman, Robert</t>
  </si>
  <si>
    <t>Morgan, Travis</t>
  </si>
  <si>
    <t>Jacobs, Debbie</t>
  </si>
  <si>
    <t>Jacobs, Gary</t>
  </si>
  <si>
    <t>Rosario, Hector</t>
  </si>
  <si>
    <t>Anthony, Vern</t>
  </si>
  <si>
    <t>Williams, Kirby</t>
  </si>
  <si>
    <t>Hunt, Jennifer</t>
  </si>
  <si>
    <t>Frederick, Jessica</t>
  </si>
  <si>
    <t>Sullivan, Lisa</t>
  </si>
  <si>
    <t>Anderson, Justin</t>
  </si>
  <si>
    <t>Breiter, Ragan</t>
  </si>
  <si>
    <t>Welch, Adrian</t>
  </si>
  <si>
    <t>Walton, Lauresa</t>
  </si>
  <si>
    <t>Jordan, Michael</t>
  </si>
  <si>
    <t>Nguyen, Duong</t>
  </si>
  <si>
    <t>NGO, Tommy</t>
  </si>
  <si>
    <t>Hall, Mke</t>
  </si>
  <si>
    <t>Johnston, Lisa</t>
  </si>
  <si>
    <t>Drupp, Chris</t>
  </si>
  <si>
    <t>Bertelli, Mike</t>
  </si>
  <si>
    <t>Bertelli, Brock</t>
  </si>
  <si>
    <t>London, Joe</t>
  </si>
  <si>
    <t>GRAND CASH PRIZE: $800</t>
  </si>
  <si>
    <t>LANDMARK / JULY 17TH / TIME: 2:00 PM</t>
  </si>
  <si>
    <t>LOCATION / DATE / TIME / TBD</t>
  </si>
  <si>
    <t>GRAND CASH PRIZE: TBD</t>
  </si>
  <si>
    <t>Babkowski, Stanley</t>
  </si>
  <si>
    <t>Beck, James</t>
  </si>
  <si>
    <t>Hussion, Shannon</t>
  </si>
  <si>
    <t>Griffin, Cass</t>
  </si>
  <si>
    <t>Perales, Bobby</t>
  </si>
  <si>
    <t>Grave, Tom</t>
  </si>
  <si>
    <t>Jackson, Lenetta</t>
  </si>
  <si>
    <t>Stacks, Jamie</t>
  </si>
  <si>
    <t>Dawson, Greg</t>
  </si>
  <si>
    <t>Yasharal, Kapha</t>
  </si>
  <si>
    <t>Reyes, Ramon</t>
  </si>
  <si>
    <t>Belcher, Nina</t>
  </si>
  <si>
    <t>Mills, Zak</t>
  </si>
  <si>
    <t>Tutt, Robb</t>
  </si>
  <si>
    <t>Rigs, Angel</t>
  </si>
  <si>
    <t>Stevens, Walt</t>
  </si>
  <si>
    <t>Smith, Greg</t>
  </si>
  <si>
    <t>Patrawala, Shabbir</t>
  </si>
  <si>
    <t>Bankston, Jacki</t>
  </si>
  <si>
    <t>Campbell, Trena</t>
  </si>
  <si>
    <t>Wright, Neal</t>
  </si>
  <si>
    <t>Martinez, Gabe</t>
  </si>
  <si>
    <t>Jones, Mike</t>
  </si>
  <si>
    <t>Ramos, Josh</t>
  </si>
  <si>
    <t>Burgos, Eric</t>
  </si>
  <si>
    <t>Cardenas, Hugo</t>
  </si>
  <si>
    <t>Chavez, Ivan</t>
  </si>
  <si>
    <t>Salazar, Salvador</t>
  </si>
  <si>
    <t>Cooper, Cody</t>
  </si>
  <si>
    <t>Linn, Jeremy</t>
  </si>
  <si>
    <t>Erison, Nathan</t>
  </si>
  <si>
    <t>Kayakone, Eric</t>
  </si>
  <si>
    <t>Powell, Logan</t>
  </si>
  <si>
    <t>Miller, Angelica</t>
  </si>
  <si>
    <t>Laboy, Christie</t>
  </si>
  <si>
    <t>Tucker, Geronica</t>
  </si>
  <si>
    <t>Smith, Gerry</t>
  </si>
  <si>
    <t>Scarbough, Jason</t>
  </si>
  <si>
    <t>Scarbough, Justin</t>
  </si>
  <si>
    <t>Leblancis, Byron</t>
  </si>
  <si>
    <t>Scarbough, Ericka</t>
  </si>
  <si>
    <t>Scarbough, Dahlia</t>
  </si>
  <si>
    <t>Smutek, Justin</t>
  </si>
  <si>
    <t>Williams, Jacquie</t>
  </si>
  <si>
    <t>Murphy, David</t>
  </si>
  <si>
    <t>Martinez, Patrick</t>
  </si>
  <si>
    <t>Flores, Jason</t>
  </si>
  <si>
    <t>Sherman,Greg</t>
  </si>
  <si>
    <t>Garnado, Rudy</t>
  </si>
  <si>
    <t>Provance, Brent</t>
  </si>
  <si>
    <t>Giddings, Cass</t>
  </si>
  <si>
    <t>Giddings, John</t>
  </si>
  <si>
    <t>Lineberger, Raymond</t>
  </si>
  <si>
    <t>Parrott, Dickey</t>
  </si>
  <si>
    <t>Cook, Art</t>
  </si>
  <si>
    <t>Wallace, Adam</t>
  </si>
  <si>
    <t>Perry, Vernon</t>
  </si>
  <si>
    <t>Cates, Deane</t>
  </si>
  <si>
    <t>Patrick, Pasty</t>
  </si>
  <si>
    <t>Ramirez, Paul</t>
  </si>
  <si>
    <t>Riojas. Corey</t>
  </si>
  <si>
    <t>Lockhart, Jenise</t>
  </si>
  <si>
    <t>Snow, John</t>
  </si>
  <si>
    <t>Brennard, Sarah</t>
  </si>
  <si>
    <t>Fletcher, Zachery</t>
  </si>
  <si>
    <t>Parrot, Paul</t>
  </si>
  <si>
    <t>Ramirez, Dickie</t>
  </si>
  <si>
    <t>Cruz, Ernesto</t>
  </si>
  <si>
    <t>Winklepleck, Brett</t>
  </si>
  <si>
    <t>Knight, Taylor</t>
  </si>
  <si>
    <t>O'Neal, Jennie</t>
  </si>
  <si>
    <t>Cadenhead, Ramona</t>
  </si>
  <si>
    <t>Ramirez, Martha</t>
  </si>
  <si>
    <t>Leonard, Jennifer</t>
  </si>
  <si>
    <t>Wilkerson, Cruz</t>
  </si>
  <si>
    <t>Woods, Bob</t>
  </si>
  <si>
    <t>Head, Meik</t>
  </si>
  <si>
    <t>Bandemer, Charles</t>
  </si>
  <si>
    <t>Parker, Brad</t>
  </si>
  <si>
    <t>Caskey, Matt</t>
  </si>
  <si>
    <t>Johnson, Jordan</t>
  </si>
  <si>
    <t>Fields, Daryl</t>
  </si>
  <si>
    <t>Arsenau, Seth</t>
  </si>
  <si>
    <t>Hanna, Doug</t>
  </si>
  <si>
    <t>Hanna, Tristan</t>
  </si>
  <si>
    <t>Mackenzie, Mathis</t>
  </si>
  <si>
    <t>Loden, Kevin</t>
  </si>
  <si>
    <t>Onstead, Tedde</t>
  </si>
  <si>
    <t>Carathes, James</t>
  </si>
  <si>
    <t>Corenado, Noe</t>
  </si>
  <si>
    <t>Lancaster, Dustin</t>
  </si>
  <si>
    <t>Lancaster, Kelly</t>
  </si>
  <si>
    <t>Miller, Shane</t>
  </si>
  <si>
    <t>Cosby, Andrew</t>
  </si>
  <si>
    <t>Lawson, Dot</t>
  </si>
  <si>
    <t>Clarke, Pete</t>
  </si>
  <si>
    <t>O'Neal, Patrick</t>
  </si>
  <si>
    <t>Deande, Marissa</t>
  </si>
  <si>
    <t>Flowers, Patricia</t>
  </si>
  <si>
    <t>Lawson, CD</t>
  </si>
  <si>
    <t>Britton, Don</t>
  </si>
  <si>
    <t>Doug, Keller</t>
  </si>
  <si>
    <t>Scoggins, Dale</t>
  </si>
  <si>
    <t>Miller, Dave</t>
  </si>
  <si>
    <t>Weems, Brandon</t>
  </si>
  <si>
    <t>Mathis, Leslie</t>
  </si>
  <si>
    <t>Mack, Jinger</t>
  </si>
  <si>
    <t>Longhorst-hurst, Frederick</t>
  </si>
  <si>
    <t>Sheppard, Adam</t>
  </si>
  <si>
    <t>Stewart, James</t>
  </si>
  <si>
    <t>Leslie, Michelle</t>
  </si>
  <si>
    <t>Cox, Randy</t>
  </si>
  <si>
    <t>Bienko, John</t>
  </si>
  <si>
    <t>Ngo, Matthew</t>
  </si>
  <si>
    <t>Winkel, Bobby</t>
  </si>
  <si>
    <t>Patrick, Jean</t>
  </si>
  <si>
    <t>Vargas, Juan</t>
  </si>
  <si>
    <t>Macias, Ramon</t>
  </si>
  <si>
    <t>Mertez, Charles</t>
  </si>
  <si>
    <t>Winingarm, Austin</t>
  </si>
  <si>
    <t>Mendez, Ricky Sr.</t>
  </si>
  <si>
    <t>Horrell, Dareion</t>
  </si>
  <si>
    <t>Guess, Patrick</t>
  </si>
  <si>
    <t>Williams, Mike</t>
  </si>
  <si>
    <t>Provance, Adalia</t>
  </si>
  <si>
    <t>McCully, Mallory</t>
  </si>
  <si>
    <t>Wrobel, Mariah</t>
  </si>
  <si>
    <t>Wrobel, Teresa</t>
  </si>
  <si>
    <t>Rivera, David</t>
  </si>
  <si>
    <t>Guzman, Marlen</t>
  </si>
  <si>
    <t>Cloud, John III</t>
  </si>
  <si>
    <t>Cloud, John II</t>
  </si>
  <si>
    <t>Mack, Cordell</t>
  </si>
  <si>
    <t>Rossett, Justin</t>
  </si>
  <si>
    <t>Rossett, Patrick</t>
  </si>
  <si>
    <t>Hare, Dylan</t>
  </si>
  <si>
    <t>Lozano, Raul</t>
  </si>
  <si>
    <t>Beltran, Victor</t>
  </si>
  <si>
    <t>Ghazal, Ramiey</t>
  </si>
  <si>
    <t>Todd, Mike</t>
  </si>
  <si>
    <t>Nelson, Milo</t>
  </si>
  <si>
    <t>Flint, Ty</t>
  </si>
  <si>
    <t>Howe, Hank</t>
  </si>
  <si>
    <t>Bleeker, Brook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</si>
</sst>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sz val="16"/>
      <name val="Arial"/>
      <family val="2"/>
    </font>
    <font>
      <b/>
      <sz val="11"/>
      <color indexed="11"/>
      <name val="Arial"/>
      <family val="2"/>
    </font>
    <font>
      <sz val="12"/>
      <color theme="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8" fillId="25" borderId="11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wrapText="1"/>
    </xf>
    <xf numFmtId="0" fontId="32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23" fillId="28" borderId="10" xfId="0" applyFont="1" applyFill="1" applyBorder="1" applyAlignment="1">
      <alignment horizontal="center" wrapText="1"/>
    </xf>
    <xf numFmtId="0" fontId="32" fillId="28" borderId="10" xfId="0" applyFont="1" applyFill="1" applyBorder="1" applyAlignment="1">
      <alignment horizontal="center" wrapText="1"/>
    </xf>
    <xf numFmtId="0" fontId="27" fillId="28" borderId="10" xfId="57" applyFont="1" applyFill="1" applyBorder="1" applyAlignment="1">
      <alignment horizontal="center" wrapText="1"/>
      <protection/>
    </xf>
    <xf numFmtId="0" fontId="23" fillId="26" borderId="10" xfId="57" applyFont="1" applyFill="1" applyBorder="1" applyAlignment="1">
      <alignment horizontal="center" wrapText="1"/>
      <protection/>
    </xf>
    <xf numFmtId="0" fontId="27" fillId="0" borderId="0" xfId="57" applyFont="1" applyFill="1" applyBorder="1" applyAlignment="1">
      <alignment horizontal="center" wrapText="1"/>
      <protection/>
    </xf>
    <xf numFmtId="0" fontId="23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wrapText="1"/>
    </xf>
    <xf numFmtId="0" fontId="27" fillId="29" borderId="10" xfId="57" applyFont="1" applyFill="1" applyBorder="1" applyAlignment="1">
      <alignment horizontal="center" wrapText="1"/>
      <protection/>
    </xf>
    <xf numFmtId="0" fontId="23" fillId="0" borderId="10" xfId="57" applyFont="1" applyFill="1" applyBorder="1" applyAlignment="1">
      <alignment horizontal="center" wrapText="1"/>
      <protection/>
    </xf>
    <xf numFmtId="0" fontId="23" fillId="28" borderId="10" xfId="57" applyFont="1" applyFill="1" applyBorder="1" applyAlignment="1">
      <alignment horizontal="center" wrapText="1"/>
      <protection/>
    </xf>
    <xf numFmtId="0" fontId="33" fillId="25" borderId="10" xfId="0" applyFont="1" applyFill="1" applyBorder="1" applyAlignment="1">
      <alignment/>
    </xf>
    <xf numFmtId="0" fontId="34" fillId="25" borderId="13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13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12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5"/>
      <c r="B1" s="35"/>
      <c r="C1" s="35"/>
      <c r="D1" s="35"/>
      <c r="E1" s="35"/>
      <c r="F1" s="35"/>
      <c r="G1" s="35"/>
    </row>
    <row r="2" spans="1:7" ht="45" customHeight="1">
      <c r="A2" s="36" t="s">
        <v>37</v>
      </c>
      <c r="B2" s="36"/>
      <c r="C2" s="36"/>
      <c r="D2" s="36"/>
      <c r="E2" s="36"/>
      <c r="F2" s="36"/>
      <c r="G2" s="36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7" t="s">
        <v>703</v>
      </c>
      <c r="B4" s="38"/>
      <c r="C4" s="38"/>
      <c r="D4" s="38"/>
      <c r="E4" s="38"/>
      <c r="F4" s="38"/>
      <c r="G4" s="38"/>
    </row>
    <row r="5" spans="1:7" ht="9.75" customHeight="1">
      <c r="A5" s="37"/>
      <c r="B5" s="38"/>
      <c r="C5" s="38"/>
      <c r="D5" s="38"/>
      <c r="E5" s="38"/>
      <c r="F5" s="38"/>
      <c r="G5" s="38"/>
    </row>
    <row r="6" spans="1:7" ht="30" customHeight="1">
      <c r="A6" s="39" t="s">
        <v>704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38</v>
      </c>
      <c r="E8" s="2" t="s">
        <v>39</v>
      </c>
      <c r="F8" s="2" t="s">
        <v>40</v>
      </c>
      <c r="G8" s="2" t="s">
        <v>41</v>
      </c>
      <c r="H8" s="3"/>
    </row>
    <row r="9" spans="1:7" ht="15" customHeight="1">
      <c r="A9" s="16">
        <v>1</v>
      </c>
      <c r="B9" s="17" t="s">
        <v>8</v>
      </c>
      <c r="C9" s="19">
        <f>D9+E9+F9+G9</f>
        <v>16430</v>
      </c>
      <c r="D9" s="4">
        <f>475+115+325+250+425+375+350+425+350+250+475+300+300+350+300+300+300+325+575+300+300+475</f>
        <v>7640</v>
      </c>
      <c r="E9" s="4">
        <f>425+250+145+475+350+250+375+300+475+300+325+375+300+300+575+375+575+350+475</f>
        <v>6995</v>
      </c>
      <c r="F9" s="4">
        <f>350+275+350+350+145+325</f>
        <v>1795</v>
      </c>
      <c r="G9" s="4"/>
    </row>
    <row r="10" spans="1:7" ht="15" customHeight="1">
      <c r="A10" s="16">
        <v>2</v>
      </c>
      <c r="B10" s="17" t="s">
        <v>129</v>
      </c>
      <c r="C10" s="19">
        <f>D10+E10+F10+G10</f>
        <v>9520</v>
      </c>
      <c r="D10" s="4">
        <f>115+160+145+350+250+325+275+325+300+325+130+175+325+575+475+575+325</f>
        <v>5150</v>
      </c>
      <c r="E10" s="4">
        <f>250+175+475+145+325+250+425+250+225+275</f>
        <v>2795</v>
      </c>
      <c r="F10" s="4">
        <f>325+200+250+375+425</f>
        <v>1575</v>
      </c>
      <c r="G10" s="4"/>
    </row>
    <row r="11" spans="1:7" ht="15" customHeight="1">
      <c r="A11" s="16">
        <v>3</v>
      </c>
      <c r="B11" s="17" t="s">
        <v>94</v>
      </c>
      <c r="C11" s="19">
        <f>D11+E11+F11+G11</f>
        <v>7575</v>
      </c>
      <c r="D11" s="4">
        <f>475+275+475+350+425+325+250+575+250</f>
        <v>3400</v>
      </c>
      <c r="E11" s="4">
        <f>350+475+375+200+325+200+425+425+375</f>
        <v>3150</v>
      </c>
      <c r="F11" s="4">
        <f>275+575+175</f>
        <v>1025</v>
      </c>
      <c r="G11" s="4"/>
    </row>
    <row r="12" spans="1:7" ht="15" customHeight="1">
      <c r="A12" s="16">
        <v>4</v>
      </c>
      <c r="B12" s="17" t="s">
        <v>92</v>
      </c>
      <c r="C12" s="19">
        <f>D12+E12+F12+G12</f>
        <v>7450</v>
      </c>
      <c r="D12" s="4">
        <f>325+575+575+275+325+425+350+350</f>
        <v>3200</v>
      </c>
      <c r="E12" s="4">
        <f>300+250+425+575+350+300+275+225+300+475</f>
        <v>3475</v>
      </c>
      <c r="F12" s="4">
        <f>425+350</f>
        <v>775</v>
      </c>
      <c r="G12" s="4"/>
    </row>
    <row r="13" spans="1:7" ht="15" customHeight="1">
      <c r="A13" s="16">
        <v>5</v>
      </c>
      <c r="B13" s="17" t="s">
        <v>394</v>
      </c>
      <c r="C13" s="19">
        <f>D13+E13+F13+G13</f>
        <v>7335</v>
      </c>
      <c r="D13" s="4">
        <f>575+475+375+475+375+575+250+475+200+225+350+375+200+225</f>
        <v>5150</v>
      </c>
      <c r="E13" s="4">
        <f>300+475+275+175+250+200+175+175</f>
        <v>2025</v>
      </c>
      <c r="F13" s="4">
        <f>160</f>
        <v>160</v>
      </c>
      <c r="G13" s="4"/>
    </row>
    <row r="14" spans="1:7" ht="15" customHeight="1">
      <c r="A14" s="16">
        <v>6</v>
      </c>
      <c r="B14" s="17" t="s">
        <v>584</v>
      </c>
      <c r="C14" s="19">
        <f>D14+E14+F14+G14</f>
        <v>7310</v>
      </c>
      <c r="D14" s="4">
        <f>425+475+275+250+300+375+575+425+160+425+575</f>
        <v>4260</v>
      </c>
      <c r="E14" s="4">
        <f>325+575+275+225+225+200+225+300</f>
        <v>2350</v>
      </c>
      <c r="F14" s="4">
        <f>325+375</f>
        <v>700</v>
      </c>
      <c r="G14" s="4"/>
    </row>
    <row r="15" spans="1:7" ht="15" customHeight="1">
      <c r="A15" s="16">
        <v>7</v>
      </c>
      <c r="B15" s="17" t="s">
        <v>590</v>
      </c>
      <c r="C15" s="19">
        <f>D15+E15+F15+G15</f>
        <v>7195</v>
      </c>
      <c r="D15" s="4">
        <f>200+130+300+200+375+115+325+300+275+575+475+145+115+250+115</f>
        <v>3895</v>
      </c>
      <c r="E15" s="4">
        <f>375+350+350+275+375+275+275+475</f>
        <v>2750</v>
      </c>
      <c r="F15" s="4">
        <f>250+300</f>
        <v>550</v>
      </c>
      <c r="G15" s="4"/>
    </row>
    <row r="16" spans="1:7" ht="15" customHeight="1">
      <c r="A16" s="16">
        <v>8</v>
      </c>
      <c r="B16" s="17" t="s">
        <v>398</v>
      </c>
      <c r="C16" s="19">
        <f>D16+E16+F16+G16</f>
        <v>7035</v>
      </c>
      <c r="D16" s="4">
        <f>250+350+300+575+375+160+300+225+475+425+175+160+175</f>
        <v>3945</v>
      </c>
      <c r="E16" s="4">
        <f>275+425+160+130+475+575+575</f>
        <v>2615</v>
      </c>
      <c r="F16" s="4">
        <f>475</f>
        <v>475</v>
      </c>
      <c r="G16" s="4"/>
    </row>
    <row r="17" spans="1:7" ht="15" customHeight="1">
      <c r="A17" s="16">
        <v>9</v>
      </c>
      <c r="B17" s="17" t="s">
        <v>22</v>
      </c>
      <c r="C17" s="19">
        <f>D17+E17+F17+G17</f>
        <v>6630</v>
      </c>
      <c r="D17" s="4">
        <f>300+275+175+375+130+350+375+375+425+425+250+225+275+250</f>
        <v>4205</v>
      </c>
      <c r="E17" s="4">
        <f>575+250+575+275+175+275</f>
        <v>2125</v>
      </c>
      <c r="F17" s="4">
        <f>300</f>
        <v>300</v>
      </c>
      <c r="G17" s="4"/>
    </row>
    <row r="18" spans="1:7" ht="15" customHeight="1">
      <c r="A18" s="16">
        <v>10</v>
      </c>
      <c r="B18" s="17" t="s">
        <v>45</v>
      </c>
      <c r="C18" s="19">
        <f>D18+E18+F18+G18</f>
        <v>6525</v>
      </c>
      <c r="D18" s="4">
        <f>375+225+425+250+300+325</f>
        <v>1900</v>
      </c>
      <c r="E18" s="4">
        <f>475+575+375+475+350+475+475</f>
        <v>3200</v>
      </c>
      <c r="F18" s="4">
        <f>575+475+375</f>
        <v>1425</v>
      </c>
      <c r="G18" s="4"/>
    </row>
    <row r="19" spans="1:7" ht="15" customHeight="1">
      <c r="A19" s="16">
        <v>11</v>
      </c>
      <c r="B19" s="17" t="s">
        <v>15</v>
      </c>
      <c r="C19" s="18">
        <f>D19+E19+F19+G19</f>
        <v>6480</v>
      </c>
      <c r="D19" s="4">
        <f>575+575+225+115+275</f>
        <v>1765</v>
      </c>
      <c r="E19" s="4">
        <f>575+375+200+475+575+250+375+325+575+115+300</f>
        <v>4140</v>
      </c>
      <c r="F19" s="4">
        <f>575</f>
        <v>575</v>
      </c>
      <c r="G19" s="4"/>
    </row>
    <row r="20" spans="1:7" ht="15" customHeight="1">
      <c r="A20" s="16">
        <v>12</v>
      </c>
      <c r="B20" s="17" t="s">
        <v>259</v>
      </c>
      <c r="C20" s="18">
        <f>D20+E20+F20+G20</f>
        <v>6000</v>
      </c>
      <c r="D20" s="4">
        <f>425+575+375</f>
        <v>1375</v>
      </c>
      <c r="E20" s="4">
        <f>325+575+575+425+375+475+250+575</f>
        <v>3575</v>
      </c>
      <c r="F20" s="4">
        <f>575+475</f>
        <v>1050</v>
      </c>
      <c r="G20" s="4"/>
    </row>
    <row r="21" spans="1:7" ht="15" customHeight="1">
      <c r="A21" s="16">
        <v>13</v>
      </c>
      <c r="B21" s="17" t="s">
        <v>118</v>
      </c>
      <c r="C21" s="18">
        <f>D21+E21+F21+G21</f>
        <v>5620</v>
      </c>
      <c r="D21" s="4">
        <f>475+130+575+375+115</f>
        <v>1670</v>
      </c>
      <c r="E21" s="4">
        <f>375+475+475+575</f>
        <v>1900</v>
      </c>
      <c r="F21" s="4">
        <f>575+475+425+575</f>
        <v>2050</v>
      </c>
      <c r="G21" s="4"/>
    </row>
    <row r="22" spans="1:7" ht="15" customHeight="1">
      <c r="A22" s="16">
        <v>14</v>
      </c>
      <c r="B22" s="16" t="s">
        <v>26</v>
      </c>
      <c r="C22" s="18">
        <f>D22+E22+F22+G22</f>
        <v>5460</v>
      </c>
      <c r="D22" s="4">
        <f>160+300+250+350+350</f>
        <v>1410</v>
      </c>
      <c r="E22" s="4">
        <f>375+275+350+575+425+225+375+160</f>
        <v>2760</v>
      </c>
      <c r="F22" s="4">
        <f>115+425+375+375</f>
        <v>1290</v>
      </c>
      <c r="G22" s="4"/>
    </row>
    <row r="23" spans="1:7" ht="15" customHeight="1">
      <c r="A23" s="16">
        <v>15</v>
      </c>
      <c r="B23" s="17" t="s">
        <v>24</v>
      </c>
      <c r="C23" s="18">
        <f>D23+E23+F23+G23</f>
        <v>5380</v>
      </c>
      <c r="D23" s="4">
        <f>275+175+575+200+375+425+225+325+225</f>
        <v>2800</v>
      </c>
      <c r="E23" s="4">
        <f>145+375+475+160+375+575+475</f>
        <v>2580</v>
      </c>
      <c r="F23" s="4">
        <v>0</v>
      </c>
      <c r="G23" s="4"/>
    </row>
    <row r="24" spans="1:7" ht="15" customHeight="1">
      <c r="A24" s="16">
        <v>16</v>
      </c>
      <c r="B24" s="17" t="s">
        <v>96</v>
      </c>
      <c r="C24" s="18">
        <f>D24+E24+F24+G24</f>
        <v>5380</v>
      </c>
      <c r="D24" s="4">
        <f>145+325+350+575+475+425+225+300+325+200+325</f>
        <v>3670</v>
      </c>
      <c r="E24" s="4">
        <f>350+575+325+200</f>
        <v>1450</v>
      </c>
      <c r="F24" s="4">
        <f>130+130</f>
        <v>260</v>
      </c>
      <c r="G24" s="4"/>
    </row>
    <row r="25" spans="1:7" ht="15" customHeight="1">
      <c r="A25" s="16">
        <v>17</v>
      </c>
      <c r="B25" s="17" t="s">
        <v>469</v>
      </c>
      <c r="C25" s="18">
        <f>D25+E25+F25+G25</f>
        <v>5315</v>
      </c>
      <c r="D25" s="4">
        <f>225+145+425+275+425+175+250+425+375+145+425</f>
        <v>3290</v>
      </c>
      <c r="E25" s="4">
        <f>425+225+325+200+225+250+375</f>
        <v>2025</v>
      </c>
      <c r="F25" s="4">
        <v>0</v>
      </c>
      <c r="G25" s="4"/>
    </row>
    <row r="26" spans="1:7" ht="15" customHeight="1">
      <c r="A26" s="16">
        <v>18</v>
      </c>
      <c r="B26" s="17" t="s">
        <v>391</v>
      </c>
      <c r="C26" s="18">
        <f>D26+E26+F26+G26</f>
        <v>5300</v>
      </c>
      <c r="D26" s="4">
        <f>300+425+375+375+475</f>
        <v>1950</v>
      </c>
      <c r="E26" s="4">
        <f>475+250+475+375+575+475</f>
        <v>2625</v>
      </c>
      <c r="F26" s="4">
        <f>350+375</f>
        <v>725</v>
      </c>
      <c r="G26" s="4"/>
    </row>
    <row r="27" spans="1:7" ht="15" customHeight="1">
      <c r="A27" s="16">
        <v>19</v>
      </c>
      <c r="B27" s="17" t="s">
        <v>36</v>
      </c>
      <c r="C27" s="18">
        <f>D27+E27+F27+G27</f>
        <v>5000</v>
      </c>
      <c r="D27" s="4">
        <f>175+350+350+225+575+375+375+325+375</f>
        <v>3125</v>
      </c>
      <c r="E27" s="4">
        <f>200+175+475+475</f>
        <v>1325</v>
      </c>
      <c r="F27" s="4">
        <f>200+350</f>
        <v>550</v>
      </c>
      <c r="G27" s="4"/>
    </row>
    <row r="28" spans="1:7" ht="15" customHeight="1">
      <c r="A28" s="16">
        <v>20</v>
      </c>
      <c r="B28" s="17" t="s">
        <v>193</v>
      </c>
      <c r="C28" s="18">
        <f>D28+E28+F28+G28</f>
        <v>4995</v>
      </c>
      <c r="D28" s="4">
        <f>200+350+325+250+300+425+130+160+130</f>
        <v>2270</v>
      </c>
      <c r="E28" s="4">
        <f>575+350+475+575+175</f>
        <v>2150</v>
      </c>
      <c r="F28" s="4">
        <f>575</f>
        <v>575</v>
      </c>
      <c r="G28" s="4"/>
    </row>
    <row r="29" spans="1:7" ht="15" customHeight="1">
      <c r="A29" s="16">
        <v>21</v>
      </c>
      <c r="B29" s="17" t="s">
        <v>126</v>
      </c>
      <c r="C29" s="18">
        <f>D29+E29+F29+G29</f>
        <v>4650</v>
      </c>
      <c r="D29" s="4">
        <f>575+300+575+350</f>
        <v>1800</v>
      </c>
      <c r="E29" s="4">
        <f>275+325+300+475+425</f>
        <v>1800</v>
      </c>
      <c r="F29" s="4">
        <f>475+575</f>
        <v>1050</v>
      </c>
      <c r="G29" s="4"/>
    </row>
    <row r="30" spans="1:7" ht="15" customHeight="1">
      <c r="A30" s="16">
        <v>22</v>
      </c>
      <c r="B30" s="17" t="s">
        <v>392</v>
      </c>
      <c r="C30" s="18">
        <f>D30+E30+F30+G30</f>
        <v>4620</v>
      </c>
      <c r="D30" s="4">
        <f>475+115+160+250+250</f>
        <v>1250</v>
      </c>
      <c r="E30" s="4">
        <f>225+350+475+325+250+350+145</f>
        <v>2120</v>
      </c>
      <c r="F30" s="4">
        <f>425+575+250</f>
        <v>1250</v>
      </c>
      <c r="G30" s="4"/>
    </row>
    <row r="31" spans="1:7" ht="15" customHeight="1">
      <c r="A31" s="16">
        <v>23</v>
      </c>
      <c r="B31" s="17" t="s">
        <v>487</v>
      </c>
      <c r="C31" s="18">
        <f>D31+E31+F31+G31</f>
        <v>4615</v>
      </c>
      <c r="D31" s="4">
        <f>145+475+200+325+375+375+275+375</f>
        <v>2545</v>
      </c>
      <c r="E31" s="4">
        <f>225+160+325+350+575+275</f>
        <v>1910</v>
      </c>
      <c r="F31" s="4">
        <f>160</f>
        <v>160</v>
      </c>
      <c r="G31" s="4"/>
    </row>
    <row r="32" spans="1:7" ht="15" customHeight="1">
      <c r="A32" s="16">
        <v>24</v>
      </c>
      <c r="B32" s="17" t="s">
        <v>31</v>
      </c>
      <c r="C32" s="18">
        <f>D32+E32+F32+G32</f>
        <v>4370</v>
      </c>
      <c r="D32" s="4">
        <f>425+300+130+475+375+250+130+175+425+175+145</f>
        <v>3005</v>
      </c>
      <c r="E32" s="4">
        <f>115+475</f>
        <v>590</v>
      </c>
      <c r="F32" s="4">
        <f>300+475</f>
        <v>775</v>
      </c>
      <c r="G32" s="4"/>
    </row>
    <row r="33" spans="1:7" ht="15" customHeight="1">
      <c r="A33" s="16">
        <v>25</v>
      </c>
      <c r="B33" s="17" t="s">
        <v>7</v>
      </c>
      <c r="C33" s="18">
        <f>D33+E33+F33+G33</f>
        <v>4315</v>
      </c>
      <c r="D33" s="4">
        <f>375+130+475+115+145+375+130</f>
        <v>1745</v>
      </c>
      <c r="E33" s="4">
        <f>200+145+475+300+425+325</f>
        <v>1870</v>
      </c>
      <c r="F33" s="4">
        <f>175+300+225</f>
        <v>700</v>
      </c>
      <c r="G33" s="4"/>
    </row>
    <row r="34" spans="1:7" ht="15" customHeight="1">
      <c r="A34" s="16">
        <v>26</v>
      </c>
      <c r="B34" s="17" t="s">
        <v>42</v>
      </c>
      <c r="C34" s="18">
        <f>D34+E34+F34+G34</f>
        <v>4150</v>
      </c>
      <c r="D34" s="4">
        <f>300+325+175+160+130+250+225+160+350+475+350+115</f>
        <v>3015</v>
      </c>
      <c r="E34" s="4">
        <f>160+175</f>
        <v>335</v>
      </c>
      <c r="F34" s="4">
        <f>375+425</f>
        <v>800</v>
      </c>
      <c r="G34" s="4"/>
    </row>
    <row r="35" spans="1:7" ht="15" customHeight="1">
      <c r="A35" s="16">
        <v>27</v>
      </c>
      <c r="B35" s="17" t="s">
        <v>58</v>
      </c>
      <c r="C35" s="18">
        <f>D35+E35+F35+G35</f>
        <v>4000</v>
      </c>
      <c r="D35" s="4">
        <f>475+275+375+300+175+350</f>
        <v>1950</v>
      </c>
      <c r="E35" s="4">
        <f>375+350+350+325</f>
        <v>1400</v>
      </c>
      <c r="F35" s="4">
        <f>175+475</f>
        <v>650</v>
      </c>
      <c r="G35" s="4"/>
    </row>
    <row r="36" spans="1:7" ht="15" customHeight="1">
      <c r="A36" s="16">
        <v>28</v>
      </c>
      <c r="B36" s="17" t="s">
        <v>59</v>
      </c>
      <c r="C36" s="18">
        <f>D36+E36+F36+G36</f>
        <v>3900</v>
      </c>
      <c r="D36" s="4">
        <f>575+575+350+575+350+300</f>
        <v>2725</v>
      </c>
      <c r="E36" s="4">
        <f>475+375+325</f>
        <v>1175</v>
      </c>
      <c r="F36" s="4">
        <v>0</v>
      </c>
      <c r="G36" s="4"/>
    </row>
    <row r="37" spans="1:7" ht="15" customHeight="1">
      <c r="A37" s="16">
        <v>29</v>
      </c>
      <c r="B37" s="17" t="s">
        <v>707</v>
      </c>
      <c r="C37" s="18">
        <f>D37+E37+F37+G37</f>
        <v>3725</v>
      </c>
      <c r="D37" s="4">
        <f>225+325+425+575</f>
        <v>1550</v>
      </c>
      <c r="E37" s="4">
        <f>425+300+375</f>
        <v>1100</v>
      </c>
      <c r="F37" s="4">
        <f>375+350+350</f>
        <v>1075</v>
      </c>
      <c r="G37" s="4"/>
    </row>
    <row r="38" spans="1:7" ht="15" customHeight="1">
      <c r="A38" s="16">
        <v>30</v>
      </c>
      <c r="B38" s="16" t="s">
        <v>641</v>
      </c>
      <c r="C38" s="18">
        <f>D38+E38+F38+G38</f>
        <v>3665</v>
      </c>
      <c r="D38" s="4">
        <f>325+575+575</f>
        <v>1475</v>
      </c>
      <c r="E38" s="4">
        <f>425+425+325+325</f>
        <v>1500</v>
      </c>
      <c r="F38" s="4">
        <f>575+115</f>
        <v>690</v>
      </c>
      <c r="G38" s="4"/>
    </row>
    <row r="39" spans="1:7" ht="15" customHeight="1">
      <c r="A39" s="16">
        <v>31</v>
      </c>
      <c r="B39" s="17" t="s">
        <v>143</v>
      </c>
      <c r="C39" s="18">
        <f>D39+E39+F39+G39</f>
        <v>3575</v>
      </c>
      <c r="D39" s="4">
        <f>275+350+475+475</f>
        <v>1575</v>
      </c>
      <c r="E39" s="4">
        <f>300+425+575+375+325</f>
        <v>2000</v>
      </c>
      <c r="F39" s="4">
        <v>0</v>
      </c>
      <c r="G39" s="4"/>
    </row>
    <row r="40" spans="1:7" ht="15" customHeight="1">
      <c r="A40" s="16">
        <v>32</v>
      </c>
      <c r="B40" s="17" t="s">
        <v>344</v>
      </c>
      <c r="C40" s="18">
        <f>D40+E40+F40+G40</f>
        <v>3500</v>
      </c>
      <c r="D40" s="4">
        <f>145+375+475+130+575+200</f>
        <v>1900</v>
      </c>
      <c r="E40" s="4">
        <f>275+145+575+225</f>
        <v>1220</v>
      </c>
      <c r="F40" s="4">
        <f>130+250</f>
        <v>380</v>
      </c>
      <c r="G40" s="4"/>
    </row>
    <row r="41" spans="1:7" ht="15" customHeight="1">
      <c r="A41" s="20">
        <v>33</v>
      </c>
      <c r="B41" s="21" t="s">
        <v>57</v>
      </c>
      <c r="C41" s="22">
        <f>D41+E41+F41+G41</f>
        <v>3400</v>
      </c>
      <c r="D41" s="4">
        <f>425+250+225+115+350+145</f>
        <v>1510</v>
      </c>
      <c r="E41" s="4">
        <f>175+130+175+160+425</f>
        <v>1065</v>
      </c>
      <c r="F41" s="4">
        <f>225+175+425</f>
        <v>825</v>
      </c>
      <c r="G41" s="4"/>
    </row>
    <row r="42" spans="1:7" ht="15" customHeight="1">
      <c r="A42" s="20">
        <v>34</v>
      </c>
      <c r="B42" s="21" t="s">
        <v>680</v>
      </c>
      <c r="C42" s="22">
        <f>D42+E42+F42+G42</f>
        <v>3335</v>
      </c>
      <c r="D42" s="4">
        <f>300+275+325+175</f>
        <v>1075</v>
      </c>
      <c r="E42" s="4">
        <f>300+225+160+300</f>
        <v>985</v>
      </c>
      <c r="F42" s="4">
        <f>475+375+425</f>
        <v>1275</v>
      </c>
      <c r="G42" s="4"/>
    </row>
    <row r="43" spans="1:7" ht="15" customHeight="1">
      <c r="A43" s="20">
        <v>35</v>
      </c>
      <c r="B43" s="21" t="s">
        <v>25</v>
      </c>
      <c r="C43" s="22">
        <f>D43+E43+F43+G43</f>
        <v>3305</v>
      </c>
      <c r="D43" s="4">
        <f>250+325+200+130+275+350+145</f>
        <v>1675</v>
      </c>
      <c r="E43" s="4">
        <f>160+325+300+145+475+225</f>
        <v>1630</v>
      </c>
      <c r="F43" s="4">
        <v>0</v>
      </c>
      <c r="G43" s="4"/>
    </row>
    <row r="44" spans="1:7" ht="15" customHeight="1">
      <c r="A44" s="20">
        <v>36</v>
      </c>
      <c r="B44" s="21" t="s">
        <v>562</v>
      </c>
      <c r="C44" s="22">
        <f>D44+E44+F44+G44</f>
        <v>3275</v>
      </c>
      <c r="D44" s="4">
        <f>325+350+325+300</f>
        <v>1300</v>
      </c>
      <c r="E44" s="4">
        <f>250+375+350+375</f>
        <v>1350</v>
      </c>
      <c r="F44" s="4">
        <f>300+325</f>
        <v>625</v>
      </c>
      <c r="G44" s="4"/>
    </row>
    <row r="45" spans="1:7" ht="15" customHeight="1">
      <c r="A45" s="20">
        <v>37</v>
      </c>
      <c r="B45" s="21" t="s">
        <v>61</v>
      </c>
      <c r="C45" s="22">
        <f>D45+E45+F45+G45</f>
        <v>3270</v>
      </c>
      <c r="D45" s="4">
        <f>250+275+275+275</f>
        <v>1075</v>
      </c>
      <c r="E45" s="4">
        <f>425+225+225+350</f>
        <v>1225</v>
      </c>
      <c r="F45" s="4">
        <f>475+145+350</f>
        <v>970</v>
      </c>
      <c r="G45" s="4"/>
    </row>
    <row r="46" spans="1:7" ht="15" customHeight="1">
      <c r="A46" s="20">
        <v>38</v>
      </c>
      <c r="B46" s="21" t="s">
        <v>245</v>
      </c>
      <c r="C46" s="22">
        <f>D46+E46+F46+G46</f>
        <v>3150</v>
      </c>
      <c r="D46" s="4">
        <f>200+475+575</f>
        <v>1250</v>
      </c>
      <c r="E46" s="4">
        <f>375+350+425+425</f>
        <v>1575</v>
      </c>
      <c r="F46" s="4">
        <f>325</f>
        <v>325</v>
      </c>
      <c r="G46" s="4"/>
    </row>
    <row r="47" spans="1:7" ht="15" customHeight="1">
      <c r="A47" s="20">
        <v>39</v>
      </c>
      <c r="B47" s="21" t="s">
        <v>269</v>
      </c>
      <c r="C47" s="22">
        <f>D47+E47+F47+G47</f>
        <v>3140</v>
      </c>
      <c r="D47" s="4">
        <f>160+145+275+160+575+160+160</f>
        <v>1635</v>
      </c>
      <c r="E47" s="4">
        <f>175+350+130</f>
        <v>655</v>
      </c>
      <c r="F47" s="4">
        <f>575+275</f>
        <v>850</v>
      </c>
      <c r="G47" s="4"/>
    </row>
    <row r="48" spans="1:7" ht="15" customHeight="1">
      <c r="A48" s="20">
        <v>40</v>
      </c>
      <c r="B48" s="21" t="s">
        <v>13</v>
      </c>
      <c r="C48" s="22">
        <f>D48+E48+F48+G48</f>
        <v>3045</v>
      </c>
      <c r="D48" s="4">
        <f>175+575+575+375+350+300+145</f>
        <v>2495</v>
      </c>
      <c r="E48" s="4">
        <f>300</f>
        <v>300</v>
      </c>
      <c r="F48" s="4">
        <f>250</f>
        <v>250</v>
      </c>
      <c r="G48" s="4"/>
    </row>
    <row r="49" spans="1:7" ht="15" customHeight="1">
      <c r="A49" s="20">
        <v>41</v>
      </c>
      <c r="B49" s="21" t="s">
        <v>97</v>
      </c>
      <c r="C49" s="22">
        <f>D49+E49+F49+G49</f>
        <v>2980</v>
      </c>
      <c r="D49" s="4">
        <f>175+375+375+200</f>
        <v>1125</v>
      </c>
      <c r="E49" s="4">
        <f>325+575+325+225+130</f>
        <v>1580</v>
      </c>
      <c r="F49" s="4">
        <f>275</f>
        <v>275</v>
      </c>
      <c r="G49" s="4"/>
    </row>
    <row r="50" spans="1:7" ht="15" customHeight="1">
      <c r="A50" s="20">
        <v>42</v>
      </c>
      <c r="B50" s="20" t="s">
        <v>56</v>
      </c>
      <c r="C50" s="22">
        <f>D50+E50+F50+G50</f>
        <v>2925</v>
      </c>
      <c r="D50" s="4">
        <f>475+225+175+475+475</f>
        <v>1825</v>
      </c>
      <c r="E50" s="4">
        <f>275+325+250+250</f>
        <v>1100</v>
      </c>
      <c r="F50" s="4">
        <v>0</v>
      </c>
      <c r="G50" s="4"/>
    </row>
    <row r="51" spans="1:7" ht="15" customHeight="1">
      <c r="A51" s="14"/>
      <c r="B51" s="15" t="s">
        <v>797</v>
      </c>
      <c r="C51" s="4">
        <f>D51+E51+F51+G51</f>
        <v>2880</v>
      </c>
      <c r="D51" s="4">
        <v>0</v>
      </c>
      <c r="E51" s="4">
        <f>145+425+425+575+575</f>
        <v>2145</v>
      </c>
      <c r="F51" s="4">
        <f>160+575</f>
        <v>735</v>
      </c>
      <c r="G51" s="4"/>
    </row>
    <row r="52" spans="1:7" ht="15" customHeight="1">
      <c r="A52" s="14"/>
      <c r="B52" s="15" t="s">
        <v>49</v>
      </c>
      <c r="C52" s="4">
        <f>D52+E52+F52+G52</f>
        <v>2780</v>
      </c>
      <c r="D52" s="4">
        <f>350+300+575+160</f>
        <v>1385</v>
      </c>
      <c r="E52" s="4">
        <f>325+130+350+250</f>
        <v>1055</v>
      </c>
      <c r="F52" s="4">
        <f>225+115</f>
        <v>340</v>
      </c>
      <c r="G52" s="4"/>
    </row>
    <row r="53" spans="1:7" ht="15" customHeight="1">
      <c r="A53" s="14"/>
      <c r="B53" s="15" t="s">
        <v>457</v>
      </c>
      <c r="C53" s="4">
        <f>D53+E53+F53+G53</f>
        <v>2775</v>
      </c>
      <c r="D53" s="4">
        <f>250+475+575+425</f>
        <v>1725</v>
      </c>
      <c r="E53" s="4">
        <f>425+275+350</f>
        <v>1050</v>
      </c>
      <c r="F53" s="4">
        <v>0</v>
      </c>
      <c r="G53" s="4"/>
    </row>
    <row r="54" spans="1:7" ht="15" customHeight="1">
      <c r="A54" s="14"/>
      <c r="B54" s="15" t="s">
        <v>27</v>
      </c>
      <c r="C54" s="4">
        <f>D54+E54+F54+G54</f>
        <v>2675</v>
      </c>
      <c r="D54" s="4">
        <f>350+225+350+475</f>
        <v>1400</v>
      </c>
      <c r="E54" s="4">
        <f>300+350</f>
        <v>650</v>
      </c>
      <c r="F54" s="4">
        <f>350+275</f>
        <v>625</v>
      </c>
      <c r="G54" s="4"/>
    </row>
    <row r="55" spans="1:7" ht="15" customHeight="1">
      <c r="A55" s="14"/>
      <c r="B55" s="15" t="s">
        <v>152</v>
      </c>
      <c r="C55" s="4">
        <f>D55+E55+F55+G55</f>
        <v>2675</v>
      </c>
      <c r="D55" s="4">
        <f>300+175</f>
        <v>475</v>
      </c>
      <c r="E55" s="4">
        <f>475+250+200+425+275</f>
        <v>1625</v>
      </c>
      <c r="F55" s="4">
        <f>200+375</f>
        <v>575</v>
      </c>
      <c r="G55" s="4"/>
    </row>
    <row r="56" spans="1:7" ht="15" customHeight="1">
      <c r="A56" s="14"/>
      <c r="B56" s="15" t="s">
        <v>802</v>
      </c>
      <c r="C56" s="4">
        <f>D56+E56+F56+G56</f>
        <v>2550</v>
      </c>
      <c r="D56" s="4">
        <v>0</v>
      </c>
      <c r="E56" s="4">
        <f>275+375+425+475+200</f>
        <v>1750</v>
      </c>
      <c r="F56" s="4">
        <f>475+325</f>
        <v>800</v>
      </c>
      <c r="G56" s="4"/>
    </row>
    <row r="57" spans="1:7" ht="15" customHeight="1">
      <c r="A57" s="14"/>
      <c r="B57" s="15" t="s">
        <v>681</v>
      </c>
      <c r="C57" s="4">
        <f>D57+E57+F57+G57</f>
        <v>2525</v>
      </c>
      <c r="D57" s="4">
        <f>275+225+200+250</f>
        <v>950</v>
      </c>
      <c r="E57" s="4">
        <f>425+425+175+250</f>
        <v>1275</v>
      </c>
      <c r="F57" s="4">
        <f>300</f>
        <v>300</v>
      </c>
      <c r="G57" s="4"/>
    </row>
    <row r="58" spans="1:7" ht="15" customHeight="1">
      <c r="A58" s="14"/>
      <c r="B58" s="15" t="s">
        <v>777</v>
      </c>
      <c r="C58" s="4">
        <f>D58+E58+F58+G58</f>
        <v>2525</v>
      </c>
      <c r="D58" s="4">
        <v>0</v>
      </c>
      <c r="E58" s="4">
        <f>375+175+350+425+350</f>
        <v>1675</v>
      </c>
      <c r="F58" s="4">
        <f>425+425</f>
        <v>850</v>
      </c>
      <c r="G58" s="4"/>
    </row>
    <row r="59" spans="1:7" ht="15" customHeight="1">
      <c r="A59" s="14"/>
      <c r="B59" s="15" t="s">
        <v>514</v>
      </c>
      <c r="C59" s="4">
        <f>D59+E59+F59+G59</f>
        <v>2500</v>
      </c>
      <c r="D59" s="4">
        <f>225+200+375+575+115+145</f>
        <v>1635</v>
      </c>
      <c r="E59" s="4">
        <f>350+225+160</f>
        <v>735</v>
      </c>
      <c r="F59" s="4">
        <f>130</f>
        <v>130</v>
      </c>
      <c r="G59" s="4"/>
    </row>
    <row r="60" spans="1:7" ht="15" customHeight="1">
      <c r="A60" s="14"/>
      <c r="B60" s="15" t="s">
        <v>498</v>
      </c>
      <c r="C60" s="4">
        <f>D60+E60+F60+G60</f>
        <v>2425</v>
      </c>
      <c r="D60" s="4">
        <f>425+200</f>
        <v>625</v>
      </c>
      <c r="E60" s="4">
        <f>225+250+375+300</f>
        <v>1150</v>
      </c>
      <c r="F60" s="4">
        <f>325+325</f>
        <v>650</v>
      </c>
      <c r="G60" s="4"/>
    </row>
    <row r="61" spans="1:7" ht="15" customHeight="1">
      <c r="A61" s="14"/>
      <c r="B61" s="15" t="s">
        <v>10</v>
      </c>
      <c r="C61" s="4">
        <f>D61+E61+F61+G61</f>
        <v>2200</v>
      </c>
      <c r="D61" s="4">
        <f>250+325+175+250+425+350+425</f>
        <v>2200</v>
      </c>
      <c r="E61" s="4">
        <v>0</v>
      </c>
      <c r="F61" s="4">
        <v>0</v>
      </c>
      <c r="G61" s="4"/>
    </row>
    <row r="62" spans="1:7" ht="15" customHeight="1">
      <c r="A62" s="14"/>
      <c r="B62" s="15" t="s">
        <v>180</v>
      </c>
      <c r="C62" s="4">
        <f>D62+E62+F62+G62</f>
        <v>2115</v>
      </c>
      <c r="D62" s="4">
        <f>200+275+225+275+175+200+200+175</f>
        <v>1725</v>
      </c>
      <c r="E62" s="4">
        <f>275+115</f>
        <v>390</v>
      </c>
      <c r="F62" s="4">
        <v>0</v>
      </c>
      <c r="G62" s="4"/>
    </row>
    <row r="63" spans="1:7" ht="15" customHeight="1">
      <c r="A63" s="14"/>
      <c r="B63" s="15" t="s">
        <v>114</v>
      </c>
      <c r="C63" s="4">
        <f>D63+E63+F63+G63</f>
        <v>2100</v>
      </c>
      <c r="D63" s="4">
        <f>300+160+475+200+115</f>
        <v>1250</v>
      </c>
      <c r="E63" s="4">
        <f>175+200+250</f>
        <v>625</v>
      </c>
      <c r="F63" s="4">
        <f>225</f>
        <v>225</v>
      </c>
      <c r="G63" s="4"/>
    </row>
    <row r="64" spans="1:7" ht="15" customHeight="1">
      <c r="A64" s="14"/>
      <c r="B64" s="15" t="s">
        <v>9</v>
      </c>
      <c r="C64" s="4">
        <f>D64+E64+F64+G64</f>
        <v>2060</v>
      </c>
      <c r="D64" s="4">
        <f>375+425</f>
        <v>800</v>
      </c>
      <c r="E64" s="4">
        <f>275+325+250+250</f>
        <v>1100</v>
      </c>
      <c r="F64" s="4">
        <f>160</f>
        <v>160</v>
      </c>
      <c r="G64" s="4"/>
    </row>
    <row r="65" spans="1:7" ht="15" customHeight="1">
      <c r="A65" s="14"/>
      <c r="B65" s="15" t="s">
        <v>69</v>
      </c>
      <c r="C65" s="4">
        <f>D65+E65+F65+G65</f>
        <v>2050</v>
      </c>
      <c r="D65" s="4">
        <f>575+200+200+225</f>
        <v>1200</v>
      </c>
      <c r="E65" s="4">
        <f>425+425</f>
        <v>850</v>
      </c>
      <c r="F65" s="4">
        <v>0</v>
      </c>
      <c r="G65" s="4"/>
    </row>
    <row r="66" spans="1:7" ht="15" customHeight="1">
      <c r="A66" s="14"/>
      <c r="B66" s="15" t="s">
        <v>441</v>
      </c>
      <c r="C66" s="4">
        <f>D66+E66+F66+G66</f>
        <v>2000</v>
      </c>
      <c r="D66" s="4">
        <f>225+425+275</f>
        <v>925</v>
      </c>
      <c r="E66" s="4">
        <f>275+250+350+200</f>
        <v>1075</v>
      </c>
      <c r="F66" s="4">
        <v>0</v>
      </c>
      <c r="G66" s="4"/>
    </row>
    <row r="67" spans="1:7" ht="15" customHeight="1">
      <c r="A67" s="14"/>
      <c r="B67" s="15" t="s">
        <v>346</v>
      </c>
      <c r="C67" s="4">
        <f>D67+E67+F67+G67</f>
        <v>1960</v>
      </c>
      <c r="D67" s="4">
        <f>160+225+575+575+250</f>
        <v>1785</v>
      </c>
      <c r="E67" s="4">
        <f>175</f>
        <v>175</v>
      </c>
      <c r="F67" s="4">
        <v>0</v>
      </c>
      <c r="G67" s="4"/>
    </row>
    <row r="68" spans="1:7" ht="15" customHeight="1">
      <c r="A68" s="14"/>
      <c r="B68" s="15" t="s">
        <v>189</v>
      </c>
      <c r="C68" s="4">
        <f>D68+E68+F68+G68</f>
        <v>1850</v>
      </c>
      <c r="D68" s="4">
        <f>225+425+225+425+275</f>
        <v>1575</v>
      </c>
      <c r="E68" s="4">
        <f>275</f>
        <v>275</v>
      </c>
      <c r="F68" s="4">
        <v>0</v>
      </c>
      <c r="G68" s="4"/>
    </row>
    <row r="69" spans="1:7" ht="15" customHeight="1">
      <c r="A69" s="14"/>
      <c r="B69" s="15" t="s">
        <v>534</v>
      </c>
      <c r="C69" s="4">
        <f>D69+E69+F69+G69</f>
        <v>1830</v>
      </c>
      <c r="D69" s="4">
        <v>0</v>
      </c>
      <c r="E69" s="4">
        <f>130+115+325+175+425+200</f>
        <v>1370</v>
      </c>
      <c r="F69" s="4">
        <f>145+115+200</f>
        <v>460</v>
      </c>
      <c r="G69" s="4"/>
    </row>
    <row r="70" spans="1:7" ht="15" customHeight="1">
      <c r="A70" s="14"/>
      <c r="B70" s="15" t="s">
        <v>591</v>
      </c>
      <c r="C70" s="4">
        <f>D70+E70+F70+G70</f>
        <v>1775</v>
      </c>
      <c r="D70" s="4">
        <f>325+425</f>
        <v>750</v>
      </c>
      <c r="E70" s="4">
        <f>300+375</f>
        <v>675</v>
      </c>
      <c r="F70" s="4">
        <f>350</f>
        <v>350</v>
      </c>
      <c r="G70" s="4"/>
    </row>
    <row r="71" spans="1:7" ht="15" customHeight="1">
      <c r="A71" s="14"/>
      <c r="B71" s="15" t="s">
        <v>775</v>
      </c>
      <c r="C71" s="4">
        <f>D71+E71+F71+G71</f>
        <v>1725</v>
      </c>
      <c r="D71" s="4">
        <v>0</v>
      </c>
      <c r="E71" s="4">
        <f>575+250+250+375</f>
        <v>1450</v>
      </c>
      <c r="F71" s="4">
        <f>275</f>
        <v>275</v>
      </c>
      <c r="G71" s="4"/>
    </row>
    <row r="72" spans="1:7" ht="15" customHeight="1">
      <c r="A72" s="14"/>
      <c r="B72" s="15" t="s">
        <v>761</v>
      </c>
      <c r="C72" s="4">
        <f>D72+E72+F72+G72</f>
        <v>1725</v>
      </c>
      <c r="D72" s="4">
        <f>275</f>
        <v>275</v>
      </c>
      <c r="E72" s="4">
        <f>200+175+375+225</f>
        <v>975</v>
      </c>
      <c r="F72" s="4">
        <f>475</f>
        <v>475</v>
      </c>
      <c r="G72" s="4"/>
    </row>
    <row r="73" spans="1:7" ht="15" customHeight="1">
      <c r="A73" s="14"/>
      <c r="B73" s="15" t="s">
        <v>363</v>
      </c>
      <c r="C73" s="4">
        <f>D73+E73+F73+G73</f>
        <v>1705</v>
      </c>
      <c r="D73" s="4">
        <f>130+250+275+275</f>
        <v>930</v>
      </c>
      <c r="E73" s="4">
        <f>475</f>
        <v>475</v>
      </c>
      <c r="F73" s="4">
        <f>300</f>
        <v>300</v>
      </c>
      <c r="G73" s="4"/>
    </row>
    <row r="74" spans="1:7" ht="15" customHeight="1">
      <c r="A74" s="14"/>
      <c r="B74" s="15" t="s">
        <v>188</v>
      </c>
      <c r="C74" s="4">
        <f>D74+E74+F74+G74</f>
        <v>1690</v>
      </c>
      <c r="D74" s="4">
        <f>200+225+175+200+130</f>
        <v>930</v>
      </c>
      <c r="E74" s="4">
        <f>300+160+300</f>
        <v>760</v>
      </c>
      <c r="F74" s="4">
        <v>0</v>
      </c>
      <c r="G74" s="4"/>
    </row>
    <row r="75" spans="1:7" ht="15" customHeight="1">
      <c r="A75" s="14"/>
      <c r="B75" s="15" t="s">
        <v>564</v>
      </c>
      <c r="C75" s="4">
        <f>D75+E75+F75+G75</f>
        <v>1665</v>
      </c>
      <c r="D75" s="4">
        <f>115+350+275+225+325+175</f>
        <v>1465</v>
      </c>
      <c r="E75" s="4">
        <v>0</v>
      </c>
      <c r="F75" s="4">
        <f>200</f>
        <v>200</v>
      </c>
      <c r="G75" s="4"/>
    </row>
    <row r="76" spans="1:7" ht="15" customHeight="1">
      <c r="A76" s="14"/>
      <c r="B76" s="15" t="s">
        <v>185</v>
      </c>
      <c r="C76" s="4">
        <f>D76+E76+F76+G76</f>
        <v>1600</v>
      </c>
      <c r="D76" s="4">
        <f>475+200+350</f>
        <v>1025</v>
      </c>
      <c r="E76" s="4">
        <f>575</f>
        <v>575</v>
      </c>
      <c r="F76" s="4">
        <v>0</v>
      </c>
      <c r="G76" s="4"/>
    </row>
    <row r="77" spans="1:7" ht="15" customHeight="1">
      <c r="A77" s="14"/>
      <c r="B77" s="15" t="s">
        <v>510</v>
      </c>
      <c r="C77" s="4">
        <f>D77+E77+F77+G77</f>
        <v>1575</v>
      </c>
      <c r="D77" s="4">
        <f>175+475+300+300</f>
        <v>1250</v>
      </c>
      <c r="E77" s="4">
        <f>325</f>
        <v>325</v>
      </c>
      <c r="F77" s="4">
        <v>0</v>
      </c>
      <c r="G77" s="4"/>
    </row>
    <row r="78" spans="1:7" ht="15" customHeight="1">
      <c r="A78" s="14"/>
      <c r="B78" s="15" t="s">
        <v>70</v>
      </c>
      <c r="C78" s="4">
        <f>D78+E78+F78+G78</f>
        <v>1570</v>
      </c>
      <c r="D78" s="4">
        <f>115+225+225</f>
        <v>565</v>
      </c>
      <c r="E78" s="4">
        <f>130+250+425+200</f>
        <v>1005</v>
      </c>
      <c r="F78" s="4">
        <v>0</v>
      </c>
      <c r="G78" s="4"/>
    </row>
    <row r="79" spans="1:7" ht="15" customHeight="1">
      <c r="A79" s="14"/>
      <c r="B79" s="15" t="s">
        <v>754</v>
      </c>
      <c r="C79" s="4">
        <f>D79+E79+F79+G79</f>
        <v>1550</v>
      </c>
      <c r="D79" s="4">
        <f>475</f>
        <v>475</v>
      </c>
      <c r="E79" s="4">
        <f>475+325</f>
        <v>800</v>
      </c>
      <c r="F79" s="4">
        <f>275</f>
        <v>275</v>
      </c>
      <c r="G79" s="4"/>
    </row>
    <row r="80" spans="1:7" ht="15" customHeight="1">
      <c r="A80" s="14"/>
      <c r="B80" s="15" t="s">
        <v>568</v>
      </c>
      <c r="C80" s="4">
        <f>D80+E80+F80+G80</f>
        <v>1525</v>
      </c>
      <c r="D80" s="4">
        <f>575+475+475</f>
        <v>1525</v>
      </c>
      <c r="E80" s="4">
        <v>0</v>
      </c>
      <c r="F80" s="4">
        <v>0</v>
      </c>
      <c r="G80" s="4"/>
    </row>
    <row r="81" spans="1:7" ht="15" customHeight="1">
      <c r="A81" s="14"/>
      <c r="B81" s="15" t="s">
        <v>82</v>
      </c>
      <c r="C81" s="4">
        <f>D81+E81+F81+G81</f>
        <v>1500</v>
      </c>
      <c r="D81" s="4">
        <v>0</v>
      </c>
      <c r="E81" s="4">
        <f>575+175</f>
        <v>750</v>
      </c>
      <c r="F81" s="4">
        <f>200+250+300</f>
        <v>750</v>
      </c>
      <c r="G81" s="4"/>
    </row>
    <row r="82" spans="1:7" ht="15" customHeight="1">
      <c r="A82" s="14"/>
      <c r="B82" s="15" t="s">
        <v>106</v>
      </c>
      <c r="C82" s="4">
        <f>D82+E82+F82+G82</f>
        <v>1480</v>
      </c>
      <c r="D82" s="4">
        <f>160+375+375+145</f>
        <v>1055</v>
      </c>
      <c r="E82" s="4">
        <f>425</f>
        <v>425</v>
      </c>
      <c r="F82" s="4">
        <v>0</v>
      </c>
      <c r="G82" s="4"/>
    </row>
    <row r="83" spans="1:7" ht="15" customHeight="1">
      <c r="A83" s="14"/>
      <c r="B83" s="15" t="s">
        <v>667</v>
      </c>
      <c r="C83" s="4">
        <f>D83+E83+F83+G83</f>
        <v>1450</v>
      </c>
      <c r="D83" s="4">
        <f>300+575+575</f>
        <v>1450</v>
      </c>
      <c r="E83" s="4">
        <v>0</v>
      </c>
      <c r="F83" s="4">
        <v>0</v>
      </c>
      <c r="G83" s="4"/>
    </row>
    <row r="84" spans="1:7" ht="15" customHeight="1">
      <c r="A84" s="14"/>
      <c r="B84" s="15" t="s">
        <v>531</v>
      </c>
      <c r="C84" s="4">
        <f>D84+E84+F84+G84</f>
        <v>1375</v>
      </c>
      <c r="D84" s="4">
        <f>275+475+300+325</f>
        <v>1375</v>
      </c>
      <c r="E84" s="4">
        <v>0</v>
      </c>
      <c r="F84" s="4">
        <v>0</v>
      </c>
      <c r="G84" s="4"/>
    </row>
    <row r="85" spans="1:7" ht="15" customHeight="1">
      <c r="A85" s="14"/>
      <c r="B85" s="15" t="s">
        <v>662</v>
      </c>
      <c r="C85" s="4">
        <f>D85+E85+F85+G85</f>
        <v>1365</v>
      </c>
      <c r="D85" s="4">
        <f>175+115</f>
        <v>290</v>
      </c>
      <c r="E85" s="4">
        <f>225+200+325+325</f>
        <v>1075</v>
      </c>
      <c r="F85" s="4">
        <v>0</v>
      </c>
      <c r="G85" s="4"/>
    </row>
    <row r="86" spans="1:7" ht="15" customHeight="1">
      <c r="A86" s="14"/>
      <c r="B86" s="15" t="s">
        <v>719</v>
      </c>
      <c r="C86" s="4">
        <f>D86+E86+F86+G86</f>
        <v>1320</v>
      </c>
      <c r="D86" s="4">
        <f>375</f>
        <v>375</v>
      </c>
      <c r="E86" s="4">
        <f>225+145+575</f>
        <v>945</v>
      </c>
      <c r="F86" s="4">
        <v>0</v>
      </c>
      <c r="G86" s="4"/>
    </row>
    <row r="87" spans="1:7" ht="15" customHeight="1">
      <c r="A87" s="14"/>
      <c r="B87" s="15" t="s">
        <v>247</v>
      </c>
      <c r="C87" s="4">
        <f>D87+E87+F87+G87</f>
        <v>1295</v>
      </c>
      <c r="D87" s="4">
        <f>160+160</f>
        <v>320</v>
      </c>
      <c r="E87" s="4">
        <f>425+300+250</f>
        <v>975</v>
      </c>
      <c r="F87" s="4">
        <v>0</v>
      </c>
      <c r="G87" s="4"/>
    </row>
    <row r="88" spans="1:7" ht="15" customHeight="1">
      <c r="A88" s="14"/>
      <c r="B88" s="15" t="s">
        <v>764</v>
      </c>
      <c r="C88" s="4">
        <f>D88+E88+F88+G88</f>
        <v>1275</v>
      </c>
      <c r="D88" s="4">
        <f>275</f>
        <v>275</v>
      </c>
      <c r="E88" s="4">
        <f>250+375+375</f>
        <v>1000</v>
      </c>
      <c r="F88" s="4">
        <v>0</v>
      </c>
      <c r="G88" s="4"/>
    </row>
    <row r="89" spans="1:7" ht="15" customHeight="1">
      <c r="A89" s="14"/>
      <c r="B89" s="15" t="s">
        <v>11</v>
      </c>
      <c r="C89" s="4">
        <f>D89+E89+F89+G89</f>
        <v>1200</v>
      </c>
      <c r="D89" s="4">
        <v>0</v>
      </c>
      <c r="E89" s="4">
        <f>250+475</f>
        <v>725</v>
      </c>
      <c r="F89" s="4">
        <f>475</f>
        <v>475</v>
      </c>
      <c r="G89" s="4"/>
    </row>
    <row r="90" spans="1:7" ht="15" customHeight="1">
      <c r="A90" s="14"/>
      <c r="B90" s="15" t="s">
        <v>67</v>
      </c>
      <c r="C90" s="4">
        <f>D90+E90+F90+G90</f>
        <v>1175</v>
      </c>
      <c r="D90" s="4">
        <f>375+375</f>
        <v>750</v>
      </c>
      <c r="E90" s="4">
        <f>425</f>
        <v>425</v>
      </c>
      <c r="F90" s="4">
        <v>0</v>
      </c>
      <c r="G90" s="4"/>
    </row>
    <row r="91" spans="1:7" ht="15" customHeight="1">
      <c r="A91" s="14"/>
      <c r="B91" s="15" t="s">
        <v>347</v>
      </c>
      <c r="C91" s="4">
        <f>D91+E91+F91+G91</f>
        <v>1150</v>
      </c>
      <c r="D91" s="4">
        <f>175+300+300+375</f>
        <v>1150</v>
      </c>
      <c r="E91" s="4">
        <v>0</v>
      </c>
      <c r="F91" s="4">
        <v>0</v>
      </c>
      <c r="G91" s="4"/>
    </row>
    <row r="92" spans="1:7" ht="15" customHeight="1">
      <c r="A92" s="14"/>
      <c r="B92" s="15" t="s">
        <v>651</v>
      </c>
      <c r="C92" s="4">
        <f>D92+E92+F92+G92</f>
        <v>1140</v>
      </c>
      <c r="D92" s="4">
        <f>375+115+225</f>
        <v>715</v>
      </c>
      <c r="E92" s="4">
        <f>425</f>
        <v>425</v>
      </c>
      <c r="F92" s="4">
        <v>0</v>
      </c>
      <c r="G92" s="4"/>
    </row>
    <row r="93" spans="1:7" ht="15" customHeight="1">
      <c r="A93" s="14"/>
      <c r="B93" s="15" t="s">
        <v>799</v>
      </c>
      <c r="C93" s="4">
        <f>D93+E93+F93+G93</f>
        <v>1125</v>
      </c>
      <c r="D93" s="4">
        <v>0</v>
      </c>
      <c r="E93" s="4">
        <f>575+325+225</f>
        <v>1125</v>
      </c>
      <c r="F93" s="4">
        <v>0</v>
      </c>
      <c r="G93" s="4"/>
    </row>
    <row r="94" spans="1:7" ht="15" customHeight="1">
      <c r="A94" s="14"/>
      <c r="B94" s="15" t="s">
        <v>666</v>
      </c>
      <c r="C94" s="4">
        <f>D94+E94+F94+G94</f>
        <v>1100</v>
      </c>
      <c r="D94" s="4">
        <f>325+425+350</f>
        <v>1100</v>
      </c>
      <c r="E94" s="4">
        <v>0</v>
      </c>
      <c r="F94" s="4">
        <v>0</v>
      </c>
      <c r="G94" s="4"/>
    </row>
    <row r="95" spans="1:7" ht="15" customHeight="1">
      <c r="A95" s="14"/>
      <c r="B95" s="15" t="s">
        <v>725</v>
      </c>
      <c r="C95" s="4">
        <f>D95+E95+F95+G95</f>
        <v>1070</v>
      </c>
      <c r="D95" s="4">
        <f>350+300</f>
        <v>650</v>
      </c>
      <c r="E95" s="4">
        <f>275</f>
        <v>275</v>
      </c>
      <c r="F95" s="4">
        <f>145</f>
        <v>145</v>
      </c>
      <c r="G95" s="4"/>
    </row>
    <row r="96" spans="1:7" ht="15" customHeight="1">
      <c r="A96" s="14"/>
      <c r="B96" s="15" t="s">
        <v>706</v>
      </c>
      <c r="C96" s="4">
        <f>D96+E96+F96+G96</f>
        <v>1050</v>
      </c>
      <c r="D96" s="4">
        <f>350+425+275</f>
        <v>1050</v>
      </c>
      <c r="E96" s="4">
        <v>0</v>
      </c>
      <c r="F96" s="4">
        <v>0</v>
      </c>
      <c r="G96" s="4"/>
    </row>
    <row r="97" spans="1:7" ht="15" customHeight="1">
      <c r="A97" s="14"/>
      <c r="B97" s="15" t="s">
        <v>192</v>
      </c>
      <c r="C97" s="4">
        <f>D97+E97+F97+G97</f>
        <v>1035</v>
      </c>
      <c r="D97" s="4">
        <f>160+275+250</f>
        <v>685</v>
      </c>
      <c r="E97" s="4">
        <f>350</f>
        <v>350</v>
      </c>
      <c r="F97" s="4">
        <v>0</v>
      </c>
      <c r="G97" s="4"/>
    </row>
    <row r="98" spans="1:7" ht="15" customHeight="1">
      <c r="A98" s="14"/>
      <c r="B98" s="15" t="s">
        <v>187</v>
      </c>
      <c r="C98" s="4">
        <f>D98+E98+F98+G98</f>
        <v>1025</v>
      </c>
      <c r="D98" s="4">
        <f>275+275</f>
        <v>550</v>
      </c>
      <c r="E98" s="4">
        <f>475</f>
        <v>475</v>
      </c>
      <c r="F98" s="4">
        <v>0</v>
      </c>
      <c r="G98" s="4"/>
    </row>
    <row r="99" spans="1:7" ht="15" customHeight="1">
      <c r="A99" s="14"/>
      <c r="B99" s="15" t="s">
        <v>814</v>
      </c>
      <c r="C99" s="4">
        <f>D99+E99+F99+G99</f>
        <v>1010</v>
      </c>
      <c r="D99" s="4">
        <v>0</v>
      </c>
      <c r="E99" s="4">
        <f>275+350+160</f>
        <v>785</v>
      </c>
      <c r="F99" s="4">
        <f>225</f>
        <v>225</v>
      </c>
      <c r="G99" s="4"/>
    </row>
    <row r="100" spans="1:7" ht="15" customHeight="1">
      <c r="A100" s="14"/>
      <c r="B100" s="15" t="s">
        <v>758</v>
      </c>
      <c r="C100" s="4">
        <f>D100+E100+F100+G100</f>
        <v>990</v>
      </c>
      <c r="D100" s="4">
        <f>325+130</f>
        <v>455</v>
      </c>
      <c r="E100" s="4">
        <f>200+160+175</f>
        <v>535</v>
      </c>
      <c r="F100" s="4">
        <v>0</v>
      </c>
      <c r="G100" s="4"/>
    </row>
    <row r="101" spans="1:7" ht="15" customHeight="1">
      <c r="A101" s="14"/>
      <c r="B101" s="15" t="s">
        <v>801</v>
      </c>
      <c r="C101" s="4">
        <f>D101+E101+F101+G101</f>
        <v>975</v>
      </c>
      <c r="D101" s="4">
        <v>0</v>
      </c>
      <c r="E101" s="4">
        <f>300+425</f>
        <v>725</v>
      </c>
      <c r="F101" s="4">
        <f>250</f>
        <v>250</v>
      </c>
      <c r="G101" s="4"/>
    </row>
    <row r="102" spans="1:7" ht="15" customHeight="1">
      <c r="A102" s="14"/>
      <c r="B102" s="15" t="s">
        <v>32</v>
      </c>
      <c r="C102" s="4">
        <f>D102+E102+F102+G102</f>
        <v>945</v>
      </c>
      <c r="D102" s="4">
        <f>325+200+275+145</f>
        <v>945</v>
      </c>
      <c r="E102" s="4">
        <v>0</v>
      </c>
      <c r="F102" s="4">
        <v>0</v>
      </c>
      <c r="G102" s="4"/>
    </row>
    <row r="103" spans="1:7" ht="15" customHeight="1">
      <c r="A103" s="14"/>
      <c r="B103" s="15" t="s">
        <v>30</v>
      </c>
      <c r="C103" s="4">
        <f>D103+E103+F103+G103</f>
        <v>930</v>
      </c>
      <c r="D103" s="4">
        <f>325</f>
        <v>325</v>
      </c>
      <c r="E103" s="4">
        <f>475+130</f>
        <v>605</v>
      </c>
      <c r="F103" s="4">
        <v>0</v>
      </c>
      <c r="G103" s="4"/>
    </row>
    <row r="104" spans="1:7" ht="15" customHeight="1">
      <c r="A104" s="14"/>
      <c r="B104" s="15" t="s">
        <v>794</v>
      </c>
      <c r="C104" s="4">
        <f>D104+E104+F104+G104</f>
        <v>925</v>
      </c>
      <c r="D104" s="4">
        <v>0</v>
      </c>
      <c r="E104" s="4">
        <f>350+300</f>
        <v>650</v>
      </c>
      <c r="F104" s="4">
        <f>275</f>
        <v>275</v>
      </c>
      <c r="G104" s="4"/>
    </row>
    <row r="105" spans="1:7" ht="15" customHeight="1">
      <c r="A105" s="14"/>
      <c r="B105" s="15" t="s">
        <v>21</v>
      </c>
      <c r="C105" s="4">
        <f>D105+E105+F105+G105</f>
        <v>910</v>
      </c>
      <c r="D105" s="4">
        <f>175</f>
        <v>175</v>
      </c>
      <c r="E105" s="4">
        <f>160+575</f>
        <v>735</v>
      </c>
      <c r="F105" s="4">
        <v>0</v>
      </c>
      <c r="G105" s="4"/>
    </row>
    <row r="106" spans="1:7" ht="15" customHeight="1">
      <c r="A106" s="14"/>
      <c r="B106" s="15" t="s">
        <v>671</v>
      </c>
      <c r="C106" s="4">
        <f>D106+E106+F106+G106</f>
        <v>900</v>
      </c>
      <c r="D106" s="4">
        <f>475+425</f>
        <v>900</v>
      </c>
      <c r="E106" s="4">
        <v>0</v>
      </c>
      <c r="F106" s="4">
        <v>0</v>
      </c>
      <c r="G106" s="4"/>
    </row>
    <row r="107" spans="1:7" ht="15" customHeight="1">
      <c r="A107" s="14"/>
      <c r="B107" s="15" t="s">
        <v>641</v>
      </c>
      <c r="C107" s="4">
        <f>D107+E107+F107+G107</f>
        <v>900</v>
      </c>
      <c r="D107" s="4">
        <v>0</v>
      </c>
      <c r="E107" s="4">
        <f>275+275+350</f>
        <v>900</v>
      </c>
      <c r="F107" s="4">
        <v>0</v>
      </c>
      <c r="G107" s="4"/>
    </row>
    <row r="108" spans="1:7" ht="15" customHeight="1">
      <c r="A108" s="14"/>
      <c r="B108" s="15" t="s">
        <v>809</v>
      </c>
      <c r="C108" s="4">
        <f>D108+E108+F108+G108</f>
        <v>900</v>
      </c>
      <c r="D108" s="4">
        <v>0</v>
      </c>
      <c r="E108" s="4">
        <f>425</f>
        <v>425</v>
      </c>
      <c r="F108" s="4">
        <f>475</f>
        <v>475</v>
      </c>
      <c r="G108" s="4"/>
    </row>
    <row r="109" spans="1:7" ht="15" customHeight="1">
      <c r="A109" s="14"/>
      <c r="B109" s="15" t="s">
        <v>810</v>
      </c>
      <c r="C109" s="4">
        <f>D109+E109+F109+G109</f>
        <v>875</v>
      </c>
      <c r="D109" s="4">
        <v>0</v>
      </c>
      <c r="E109" s="4">
        <f>300+325</f>
        <v>625</v>
      </c>
      <c r="F109" s="4">
        <f>250</f>
        <v>250</v>
      </c>
      <c r="G109" s="4"/>
    </row>
    <row r="110" spans="1:7" ht="15" customHeight="1">
      <c r="A110" s="14"/>
      <c r="B110" s="14" t="s">
        <v>199</v>
      </c>
      <c r="C110" s="4">
        <f>D110+E110+F110+G110</f>
        <v>850</v>
      </c>
      <c r="D110" s="4">
        <f>250</f>
        <v>250</v>
      </c>
      <c r="E110" s="4">
        <f>300+300</f>
        <v>600</v>
      </c>
      <c r="F110" s="4">
        <v>0</v>
      </c>
      <c r="G110" s="4"/>
    </row>
    <row r="111" spans="1:7" ht="15" customHeight="1">
      <c r="A111" s="14"/>
      <c r="B111" s="15" t="s">
        <v>800</v>
      </c>
      <c r="C111" s="4">
        <f>D111+E111+F111+G111</f>
        <v>850</v>
      </c>
      <c r="D111" s="4">
        <v>0</v>
      </c>
      <c r="E111" s="4">
        <f>375+475</f>
        <v>850</v>
      </c>
      <c r="F111" s="4">
        <v>0</v>
      </c>
      <c r="G111" s="4"/>
    </row>
    <row r="112" spans="1:7" ht="15" customHeight="1">
      <c r="A112" s="14"/>
      <c r="B112" s="15" t="s">
        <v>277</v>
      </c>
      <c r="C112" s="4">
        <f>D112+E112+F112+G112</f>
        <v>835</v>
      </c>
      <c r="D112" s="4">
        <f>115+200+200</f>
        <v>515</v>
      </c>
      <c r="E112" s="4">
        <f>175+145</f>
        <v>320</v>
      </c>
      <c r="F112" s="4">
        <v>0</v>
      </c>
      <c r="G112" s="4"/>
    </row>
    <row r="113" spans="1:7" ht="15" customHeight="1">
      <c r="A113" s="14"/>
      <c r="B113" s="15" t="s">
        <v>60</v>
      </c>
      <c r="C113" s="4">
        <f>D113+E113+F113+G113</f>
        <v>800</v>
      </c>
      <c r="D113" s="4">
        <f>225+575</f>
        <v>800</v>
      </c>
      <c r="E113" s="4">
        <v>0</v>
      </c>
      <c r="F113" s="4">
        <v>0</v>
      </c>
      <c r="G113" s="4"/>
    </row>
    <row r="114" spans="1:7" ht="15" customHeight="1">
      <c r="A114" s="14"/>
      <c r="B114" s="15" t="s">
        <v>261</v>
      </c>
      <c r="C114" s="4">
        <f>D114+E114+F114+G114</f>
        <v>775</v>
      </c>
      <c r="D114" s="4">
        <v>0</v>
      </c>
      <c r="E114" s="4">
        <f>425+350</f>
        <v>775</v>
      </c>
      <c r="F114" s="4">
        <v>0</v>
      </c>
      <c r="G114" s="4"/>
    </row>
    <row r="115" spans="1:7" ht="15" customHeight="1">
      <c r="A115" s="14"/>
      <c r="B115" s="15" t="s">
        <v>767</v>
      </c>
      <c r="C115" s="4">
        <f>D115+E115+F115+G115</f>
        <v>775</v>
      </c>
      <c r="D115" s="4">
        <v>250</v>
      </c>
      <c r="E115" s="4">
        <f>225</f>
        <v>225</v>
      </c>
      <c r="F115" s="4">
        <f>300</f>
        <v>300</v>
      </c>
      <c r="G115" s="4"/>
    </row>
    <row r="116" spans="1:7" ht="15" customHeight="1">
      <c r="A116" s="14"/>
      <c r="B116" s="15" t="s">
        <v>828</v>
      </c>
      <c r="C116" s="4">
        <f>D116+E116+F116+G116</f>
        <v>750</v>
      </c>
      <c r="D116" s="4">
        <v>0</v>
      </c>
      <c r="E116" s="4">
        <v>0</v>
      </c>
      <c r="F116" s="4">
        <f>425+325</f>
        <v>750</v>
      </c>
      <c r="G116" s="4"/>
    </row>
    <row r="117" spans="1:7" ht="15" customHeight="1">
      <c r="A117" s="14"/>
      <c r="B117" s="15" t="s">
        <v>691</v>
      </c>
      <c r="C117" s="4">
        <f>D117+E117+F117+G117</f>
        <v>745</v>
      </c>
      <c r="D117" s="4">
        <f>275+145</f>
        <v>420</v>
      </c>
      <c r="E117" s="4">
        <f>325</f>
        <v>325</v>
      </c>
      <c r="F117" s="4">
        <v>0</v>
      </c>
      <c r="G117" s="4"/>
    </row>
    <row r="118" spans="1:7" ht="15" customHeight="1">
      <c r="A118" s="14"/>
      <c r="B118" s="15" t="s">
        <v>566</v>
      </c>
      <c r="C118" s="4">
        <f>D118+E118+F118+G118</f>
        <v>725</v>
      </c>
      <c r="D118" s="4">
        <v>0</v>
      </c>
      <c r="E118" s="4">
        <f>375+350</f>
        <v>725</v>
      </c>
      <c r="F118" s="4">
        <v>0</v>
      </c>
      <c r="G118" s="4"/>
    </row>
    <row r="119" spans="1:7" ht="15" customHeight="1">
      <c r="A119" s="14"/>
      <c r="B119" s="15" t="s">
        <v>494</v>
      </c>
      <c r="C119" s="4">
        <f>D119+E119+F119+G119</f>
        <v>720</v>
      </c>
      <c r="D119" s="4">
        <v>0</v>
      </c>
      <c r="E119" s="4">
        <f>575+145</f>
        <v>720</v>
      </c>
      <c r="F119" s="4">
        <v>0</v>
      </c>
      <c r="G119" s="4"/>
    </row>
    <row r="120" spans="1:7" ht="15" customHeight="1">
      <c r="A120" s="14"/>
      <c r="B120" s="14" t="s">
        <v>784</v>
      </c>
      <c r="C120" s="4">
        <f>D120+E120+F120+G120</f>
        <v>705</v>
      </c>
      <c r="D120" s="4">
        <v>0</v>
      </c>
      <c r="E120" s="4">
        <f>130</f>
        <v>130</v>
      </c>
      <c r="F120" s="4">
        <f>575</f>
        <v>575</v>
      </c>
      <c r="G120" s="4"/>
    </row>
    <row r="121" spans="1:7" ht="15" customHeight="1">
      <c r="A121" s="14"/>
      <c r="B121" s="15" t="s">
        <v>736</v>
      </c>
      <c r="C121" s="4">
        <f>D121+E121+F121+G121</f>
        <v>675</v>
      </c>
      <c r="D121" s="4">
        <f>225+250</f>
        <v>475</v>
      </c>
      <c r="E121" s="4">
        <f>200</f>
        <v>200</v>
      </c>
      <c r="F121" s="4">
        <v>0</v>
      </c>
      <c r="G121" s="4"/>
    </row>
    <row r="122" spans="1:7" ht="15" customHeight="1">
      <c r="A122" s="14"/>
      <c r="B122" s="15" t="s">
        <v>90</v>
      </c>
      <c r="C122" s="4">
        <f>D122+E122+F122+G122</f>
        <v>670</v>
      </c>
      <c r="D122" s="4">
        <v>0</v>
      </c>
      <c r="E122" s="4">
        <f>200</f>
        <v>200</v>
      </c>
      <c r="F122" s="4">
        <f>325+145</f>
        <v>470</v>
      </c>
      <c r="G122" s="4"/>
    </row>
    <row r="123" spans="1:7" ht="15" customHeight="1">
      <c r="A123" s="14"/>
      <c r="B123" s="15" t="s">
        <v>710</v>
      </c>
      <c r="C123" s="4">
        <f>D123+E123+F123+G123</f>
        <v>665</v>
      </c>
      <c r="D123" s="4">
        <f>115+225</f>
        <v>340</v>
      </c>
      <c r="E123" s="4">
        <f>325</f>
        <v>325</v>
      </c>
      <c r="F123" s="4">
        <v>0</v>
      </c>
      <c r="G123" s="4"/>
    </row>
    <row r="124" spans="1:7" ht="15" customHeight="1">
      <c r="A124" s="14"/>
      <c r="B124" s="15" t="s">
        <v>569</v>
      </c>
      <c r="C124" s="4">
        <f>D124+E124+F124+G124</f>
        <v>650</v>
      </c>
      <c r="D124" s="4">
        <f>425+225</f>
        <v>650</v>
      </c>
      <c r="E124" s="4">
        <v>0</v>
      </c>
      <c r="F124" s="4">
        <v>0</v>
      </c>
      <c r="G124" s="4"/>
    </row>
    <row r="125" spans="1:7" ht="15" customHeight="1">
      <c r="A125" s="14"/>
      <c r="B125" s="15" t="s">
        <v>286</v>
      </c>
      <c r="C125" s="4">
        <f>D125+E125+F125+G125</f>
        <v>650</v>
      </c>
      <c r="D125" s="4">
        <f>200</f>
        <v>200</v>
      </c>
      <c r="E125" s="4">
        <f>275</f>
        <v>275</v>
      </c>
      <c r="F125" s="4">
        <f>175</f>
        <v>175</v>
      </c>
      <c r="G125" s="4"/>
    </row>
    <row r="126" spans="1:7" ht="15" customHeight="1">
      <c r="A126" s="14"/>
      <c r="B126" s="15" t="s">
        <v>705</v>
      </c>
      <c r="C126" s="4">
        <f>D126+E126+F126+G126</f>
        <v>625</v>
      </c>
      <c r="D126" s="4">
        <f>375+250</f>
        <v>625</v>
      </c>
      <c r="E126" s="4">
        <v>0</v>
      </c>
      <c r="F126" s="4">
        <v>0</v>
      </c>
      <c r="G126" s="4"/>
    </row>
    <row r="127" spans="1:7" ht="15" customHeight="1">
      <c r="A127" s="14"/>
      <c r="B127" s="14" t="s">
        <v>724</v>
      </c>
      <c r="C127" s="4">
        <f>D127+E127+F127+G127</f>
        <v>625</v>
      </c>
      <c r="D127" s="4">
        <f>425+200</f>
        <v>625</v>
      </c>
      <c r="E127" s="4">
        <v>0</v>
      </c>
      <c r="F127" s="4">
        <v>0</v>
      </c>
      <c r="G127" s="4"/>
    </row>
    <row r="128" spans="1:7" ht="15" customHeight="1">
      <c r="A128" s="14"/>
      <c r="B128" s="15" t="s">
        <v>836</v>
      </c>
      <c r="C128" s="4">
        <f>D128+E128+F128+G128</f>
        <v>625</v>
      </c>
      <c r="D128" s="4">
        <v>300</v>
      </c>
      <c r="E128" s="4">
        <v>0</v>
      </c>
      <c r="F128" s="4">
        <f>325</f>
        <v>325</v>
      </c>
      <c r="G128" s="4"/>
    </row>
    <row r="129" spans="1:7" ht="15" customHeight="1">
      <c r="A129" s="14"/>
      <c r="B129" s="15" t="s">
        <v>213</v>
      </c>
      <c r="C129" s="4">
        <f>D129+E129+F129+G129</f>
        <v>625</v>
      </c>
      <c r="D129" s="4">
        <v>0</v>
      </c>
      <c r="E129" s="4">
        <f>300</f>
        <v>300</v>
      </c>
      <c r="F129" s="4">
        <f>325</f>
        <v>325</v>
      </c>
      <c r="G129" s="4"/>
    </row>
    <row r="130" spans="1:7" ht="15" customHeight="1">
      <c r="A130" s="14"/>
      <c r="B130" s="15" t="s">
        <v>597</v>
      </c>
      <c r="C130" s="4">
        <f>D130+E130+F130+G130</f>
        <v>600</v>
      </c>
      <c r="D130" s="4">
        <v>0</v>
      </c>
      <c r="E130" s="4">
        <f>300+300</f>
        <v>600</v>
      </c>
      <c r="F130" s="4">
        <v>0</v>
      </c>
      <c r="G130" s="4"/>
    </row>
    <row r="131" spans="1:7" ht="15" customHeight="1">
      <c r="A131" s="14"/>
      <c r="B131" s="15" t="s">
        <v>750</v>
      </c>
      <c r="C131" s="4">
        <f>D131+E131+F131+G131</f>
        <v>595</v>
      </c>
      <c r="D131" s="4">
        <f>130+145+145</f>
        <v>420</v>
      </c>
      <c r="E131" s="4">
        <f>175</f>
        <v>175</v>
      </c>
      <c r="F131" s="4">
        <v>0</v>
      </c>
      <c r="G131" s="4"/>
    </row>
    <row r="132" spans="1:7" ht="15" customHeight="1">
      <c r="A132" s="14"/>
      <c r="B132" s="15" t="s">
        <v>652</v>
      </c>
      <c r="C132" s="4">
        <f>D132+E132+F132+G132</f>
        <v>575</v>
      </c>
      <c r="D132" s="4">
        <v>0</v>
      </c>
      <c r="E132" s="4">
        <f>575</f>
        <v>575</v>
      </c>
      <c r="F132" s="4">
        <v>0</v>
      </c>
      <c r="G132" s="4"/>
    </row>
    <row r="133" spans="1:7" ht="15" customHeight="1">
      <c r="A133" s="14"/>
      <c r="B133" s="15" t="s">
        <v>816</v>
      </c>
      <c r="C133" s="4">
        <f>D133+E133+F133+G133</f>
        <v>575</v>
      </c>
      <c r="D133" s="4">
        <v>0</v>
      </c>
      <c r="E133" s="4">
        <f>575</f>
        <v>575</v>
      </c>
      <c r="F133" s="4">
        <v>0</v>
      </c>
      <c r="G133" s="4"/>
    </row>
    <row r="134" spans="1:7" ht="15" customHeight="1">
      <c r="A134" s="14"/>
      <c r="B134" s="15" t="s">
        <v>255</v>
      </c>
      <c r="C134" s="4">
        <f>D134+E134+F134+G134</f>
        <v>575</v>
      </c>
      <c r="D134" s="4">
        <v>0</v>
      </c>
      <c r="E134" s="4">
        <f>325+250</f>
        <v>575</v>
      </c>
      <c r="F134" s="4">
        <v>0</v>
      </c>
      <c r="G134" s="4"/>
    </row>
    <row r="135" spans="1:7" ht="15" customHeight="1">
      <c r="A135" s="14"/>
      <c r="B135" s="15" t="s">
        <v>88</v>
      </c>
      <c r="C135" s="4">
        <f>D135+E135+F135+G135</f>
        <v>575</v>
      </c>
      <c r="D135" s="4">
        <v>0</v>
      </c>
      <c r="E135" s="4">
        <f>575</f>
        <v>575</v>
      </c>
      <c r="F135" s="4">
        <v>0</v>
      </c>
      <c r="G135" s="4"/>
    </row>
    <row r="136" spans="1:7" ht="15" customHeight="1">
      <c r="A136" s="14"/>
      <c r="B136" s="15" t="s">
        <v>81</v>
      </c>
      <c r="C136" s="4">
        <f>D136+E136+F136+G136</f>
        <v>575</v>
      </c>
      <c r="D136" s="4">
        <v>0</v>
      </c>
      <c r="E136" s="4">
        <f>575</f>
        <v>575</v>
      </c>
      <c r="F136" s="4">
        <v>0</v>
      </c>
      <c r="G136" s="4"/>
    </row>
    <row r="137" spans="1:7" ht="15" customHeight="1">
      <c r="A137" s="14"/>
      <c r="B137" s="15" t="s">
        <v>740</v>
      </c>
      <c r="C137" s="4">
        <f>D137+E137+F137+G137</f>
        <v>575</v>
      </c>
      <c r="D137" s="4">
        <f>575</f>
        <v>575</v>
      </c>
      <c r="E137" s="4">
        <v>0</v>
      </c>
      <c r="F137" s="4">
        <v>0</v>
      </c>
      <c r="G137" s="4"/>
    </row>
    <row r="138" spans="1:7" ht="15" customHeight="1">
      <c r="A138" s="14"/>
      <c r="B138" s="15" t="s">
        <v>115</v>
      </c>
      <c r="C138" s="4">
        <f>D138+E138+F138+G138</f>
        <v>560</v>
      </c>
      <c r="D138" s="4">
        <f>175</f>
        <v>175</v>
      </c>
      <c r="E138" s="4">
        <f>225+160</f>
        <v>385</v>
      </c>
      <c r="F138" s="4">
        <v>0</v>
      </c>
      <c r="G138" s="4"/>
    </row>
    <row r="139" spans="1:7" ht="15" customHeight="1">
      <c r="A139" s="14"/>
      <c r="B139" s="15" t="s">
        <v>753</v>
      </c>
      <c r="C139" s="4">
        <f>D139+E139+F139+G139</f>
        <v>550</v>
      </c>
      <c r="D139" s="4">
        <f>175</f>
        <v>175</v>
      </c>
      <c r="E139" s="4">
        <f>375</f>
        <v>375</v>
      </c>
      <c r="F139" s="4">
        <v>0</v>
      </c>
      <c r="G139" s="4"/>
    </row>
    <row r="140" spans="1:7" ht="15" customHeight="1">
      <c r="A140" s="14"/>
      <c r="B140" s="15" t="s">
        <v>417</v>
      </c>
      <c r="C140" s="4">
        <f>D140+E140+F140+G140</f>
        <v>550</v>
      </c>
      <c r="D140" s="4">
        <f>200+350</f>
        <v>550</v>
      </c>
      <c r="E140" s="4">
        <v>0</v>
      </c>
      <c r="F140" s="4">
        <v>0</v>
      </c>
      <c r="G140" s="4"/>
    </row>
    <row r="141" spans="1:7" ht="15" customHeight="1">
      <c r="A141" s="14"/>
      <c r="B141" s="15" t="s">
        <v>47</v>
      </c>
      <c r="C141" s="4">
        <f>D141+E141+F141+G141</f>
        <v>550</v>
      </c>
      <c r="D141" s="4">
        <f>375+175</f>
        <v>550</v>
      </c>
      <c r="E141" s="4">
        <v>0</v>
      </c>
      <c r="F141" s="4">
        <v>0</v>
      </c>
      <c r="G141" s="4"/>
    </row>
    <row r="142" spans="1:7" ht="15" customHeight="1">
      <c r="A142" s="14"/>
      <c r="B142" s="15" t="s">
        <v>630</v>
      </c>
      <c r="C142" s="4">
        <f>D142+E142+F142+G142</f>
        <v>540</v>
      </c>
      <c r="D142" s="4">
        <f>425+115</f>
        <v>540</v>
      </c>
      <c r="E142" s="4">
        <v>0</v>
      </c>
      <c r="F142" s="4">
        <v>0</v>
      </c>
      <c r="G142" s="4"/>
    </row>
    <row r="143" spans="1:7" ht="15" customHeight="1">
      <c r="A143" s="14"/>
      <c r="B143" s="15" t="s">
        <v>778</v>
      </c>
      <c r="C143" s="4">
        <f>D143+E143+F143+G143</f>
        <v>525</v>
      </c>
      <c r="D143" s="4">
        <v>0</v>
      </c>
      <c r="E143" s="4">
        <f>225</f>
        <v>225</v>
      </c>
      <c r="F143" s="4">
        <f>300</f>
        <v>300</v>
      </c>
      <c r="G143" s="4"/>
    </row>
    <row r="144" spans="1:7" ht="15" customHeight="1">
      <c r="A144" s="14"/>
      <c r="B144" s="15" t="s">
        <v>783</v>
      </c>
      <c r="C144" s="4">
        <f>D144+E144+F144+G144</f>
        <v>525</v>
      </c>
      <c r="D144" s="4">
        <v>0</v>
      </c>
      <c r="E144" s="4">
        <f>200+325</f>
        <v>525</v>
      </c>
      <c r="F144" s="4">
        <v>0</v>
      </c>
      <c r="G144" s="4"/>
    </row>
    <row r="145" spans="1:7" ht="15" customHeight="1">
      <c r="A145" s="14"/>
      <c r="B145" s="15" t="s">
        <v>265</v>
      </c>
      <c r="C145" s="4">
        <f>D145+E145+F145+G145</f>
        <v>525</v>
      </c>
      <c r="D145" s="4">
        <v>225</v>
      </c>
      <c r="E145" s="4">
        <f>300</f>
        <v>300</v>
      </c>
      <c r="F145" s="4">
        <v>0</v>
      </c>
      <c r="G145" s="4"/>
    </row>
    <row r="146" spans="1:7" ht="15" customHeight="1">
      <c r="A146" s="14"/>
      <c r="B146" s="15" t="s">
        <v>563</v>
      </c>
      <c r="C146" s="4">
        <f>D146+E146+F146+G146</f>
        <v>520</v>
      </c>
      <c r="D146" s="4">
        <f>145</f>
        <v>145</v>
      </c>
      <c r="E146" s="4">
        <v>0</v>
      </c>
      <c r="F146" s="4">
        <f>375</f>
        <v>375</v>
      </c>
      <c r="G146" s="4"/>
    </row>
    <row r="147" spans="1:7" ht="15" customHeight="1">
      <c r="A147" s="14"/>
      <c r="B147" s="15" t="s">
        <v>790</v>
      </c>
      <c r="C147" s="4">
        <f>D147+E147+F147+G147</f>
        <v>500</v>
      </c>
      <c r="D147" s="4">
        <v>0</v>
      </c>
      <c r="E147" s="4">
        <f>325</f>
        <v>325</v>
      </c>
      <c r="F147" s="4">
        <f>175</f>
        <v>175</v>
      </c>
      <c r="G147" s="4"/>
    </row>
    <row r="148" spans="1:7" ht="15" customHeight="1">
      <c r="A148" s="14"/>
      <c r="B148" s="15" t="s">
        <v>605</v>
      </c>
      <c r="C148" s="4">
        <f>D148+E148+F148+G148</f>
        <v>485</v>
      </c>
      <c r="D148" s="4">
        <f>160+325</f>
        <v>485</v>
      </c>
      <c r="E148" s="4">
        <v>0</v>
      </c>
      <c r="F148" s="4">
        <v>0</v>
      </c>
      <c r="G148" s="4"/>
    </row>
    <row r="149" spans="1:7" ht="15" customHeight="1">
      <c r="A149" s="14"/>
      <c r="B149" s="15" t="s">
        <v>631</v>
      </c>
      <c r="C149" s="4">
        <f>D149+E149+F149+G149</f>
        <v>485</v>
      </c>
      <c r="D149" s="4">
        <f>325+160</f>
        <v>485</v>
      </c>
      <c r="E149" s="4">
        <v>0</v>
      </c>
      <c r="F149" s="4">
        <v>0</v>
      </c>
      <c r="G149" s="4"/>
    </row>
    <row r="150" spans="1:7" ht="15" customHeight="1">
      <c r="A150" s="14"/>
      <c r="B150" s="15" t="s">
        <v>721</v>
      </c>
      <c r="C150" s="4">
        <f>D150+E150+F150+G150</f>
        <v>485</v>
      </c>
      <c r="D150" s="4">
        <f>160+325</f>
        <v>485</v>
      </c>
      <c r="E150" s="4">
        <v>0</v>
      </c>
      <c r="F150" s="4">
        <v>0</v>
      </c>
      <c r="G150" s="4"/>
    </row>
    <row r="151" spans="1:7" ht="15" customHeight="1">
      <c r="A151" s="14"/>
      <c r="B151" s="15" t="s">
        <v>304</v>
      </c>
      <c r="C151" s="4">
        <f>D151+E151+F151+G151</f>
        <v>475</v>
      </c>
      <c r="D151" s="4">
        <f>475</f>
        <v>475</v>
      </c>
      <c r="E151" s="4">
        <v>0</v>
      </c>
      <c r="F151" s="4">
        <v>0</v>
      </c>
      <c r="G151" s="4"/>
    </row>
    <row r="152" spans="1:7" ht="15" customHeight="1">
      <c r="A152" s="14"/>
      <c r="B152" s="15" t="s">
        <v>834</v>
      </c>
      <c r="C152" s="4">
        <f>D152+E152+F152+G152</f>
        <v>475</v>
      </c>
      <c r="D152" s="4">
        <v>0</v>
      </c>
      <c r="E152" s="4">
        <v>0</v>
      </c>
      <c r="F152" s="4">
        <f>475</f>
        <v>475</v>
      </c>
      <c r="G152" s="4"/>
    </row>
    <row r="153" spans="1:7" ht="15" customHeight="1">
      <c r="A153" s="14"/>
      <c r="B153" s="15" t="s">
        <v>788</v>
      </c>
      <c r="C153" s="4">
        <f>D153+E153+F153+G153</f>
        <v>475</v>
      </c>
      <c r="D153" s="4">
        <v>0</v>
      </c>
      <c r="E153" s="4">
        <f>475</f>
        <v>475</v>
      </c>
      <c r="F153" s="4">
        <v>0</v>
      </c>
      <c r="G153" s="4"/>
    </row>
    <row r="154" spans="1:7" ht="15" customHeight="1">
      <c r="A154" s="14"/>
      <c r="B154" s="15" t="s">
        <v>125</v>
      </c>
      <c r="C154" s="4">
        <f>D154+E154+F154+G154</f>
        <v>475</v>
      </c>
      <c r="D154" s="4">
        <f>475</f>
        <v>475</v>
      </c>
      <c r="E154" s="4">
        <v>0</v>
      </c>
      <c r="F154" s="4">
        <v>0</v>
      </c>
      <c r="G154" s="4"/>
    </row>
    <row r="155" spans="1:7" ht="15" customHeight="1">
      <c r="A155" s="14"/>
      <c r="B155" s="15" t="s">
        <v>757</v>
      </c>
      <c r="C155" s="4">
        <f>D155+E155+F155+G155</f>
        <v>475</v>
      </c>
      <c r="D155" s="4">
        <f>475</f>
        <v>475</v>
      </c>
      <c r="E155" s="4">
        <v>0</v>
      </c>
      <c r="F155" s="4">
        <v>0</v>
      </c>
      <c r="G155" s="4"/>
    </row>
    <row r="156" spans="1:7" ht="15" customHeight="1">
      <c r="A156" s="14"/>
      <c r="B156" s="15" t="s">
        <v>520</v>
      </c>
      <c r="C156" s="4">
        <f>D156+E156+F156+G156</f>
        <v>475</v>
      </c>
      <c r="D156" s="4">
        <v>0</v>
      </c>
      <c r="E156" s="4">
        <f>225+250</f>
        <v>475</v>
      </c>
      <c r="F156" s="4">
        <v>0</v>
      </c>
      <c r="G156" s="4"/>
    </row>
    <row r="157" spans="1:7" ht="15" customHeight="1">
      <c r="A157" s="14"/>
      <c r="B157" s="15" t="s">
        <v>732</v>
      </c>
      <c r="C157" s="4">
        <f>D157+E157+F157+G157</f>
        <v>475</v>
      </c>
      <c r="D157" s="4">
        <f>475</f>
        <v>475</v>
      </c>
      <c r="E157" s="4">
        <v>0</v>
      </c>
      <c r="F157" s="4">
        <v>0</v>
      </c>
      <c r="G157" s="4"/>
    </row>
    <row r="158" spans="1:7" ht="15" customHeight="1">
      <c r="A158" s="14"/>
      <c r="B158" s="15" t="s">
        <v>720</v>
      </c>
      <c r="C158" s="4">
        <f>D158+E158+F158+G158</f>
        <v>470</v>
      </c>
      <c r="D158" s="4">
        <f>325+145</f>
        <v>470</v>
      </c>
      <c r="E158" s="4">
        <v>0</v>
      </c>
      <c r="F158" s="4">
        <v>0</v>
      </c>
      <c r="G158" s="4"/>
    </row>
    <row r="159" spans="1:7" ht="15" customHeight="1">
      <c r="A159" s="14"/>
      <c r="B159" s="15" t="s">
        <v>722</v>
      </c>
      <c r="C159" s="4">
        <f>D159+E159+F159+G159</f>
        <v>450</v>
      </c>
      <c r="D159" s="4">
        <f>250</f>
        <v>250</v>
      </c>
      <c r="E159" s="4">
        <f>200</f>
        <v>200</v>
      </c>
      <c r="F159" s="4">
        <v>0</v>
      </c>
      <c r="G159" s="4"/>
    </row>
    <row r="160" spans="1:7" ht="15" customHeight="1">
      <c r="A160" s="14"/>
      <c r="B160" s="15" t="s">
        <v>521</v>
      </c>
      <c r="C160" s="4">
        <f>D160+E160+F160+G160</f>
        <v>450</v>
      </c>
      <c r="D160" s="4">
        <f>250</f>
        <v>250</v>
      </c>
      <c r="E160" s="4">
        <f>200</f>
        <v>200</v>
      </c>
      <c r="F160" s="4">
        <v>0</v>
      </c>
      <c r="G160" s="4"/>
    </row>
    <row r="161" spans="1:7" ht="15" customHeight="1">
      <c r="A161" s="14"/>
      <c r="B161" s="15" t="s">
        <v>752</v>
      </c>
      <c r="C161" s="4">
        <f>D161+E161+F161+G161</f>
        <v>445</v>
      </c>
      <c r="D161" s="4">
        <f>200</f>
        <v>200</v>
      </c>
      <c r="E161" s="4">
        <f>130+115</f>
        <v>245</v>
      </c>
      <c r="F161" s="4">
        <v>0</v>
      </c>
      <c r="G161" s="4"/>
    </row>
    <row r="162" spans="1:7" ht="15" customHeight="1">
      <c r="A162" s="14"/>
      <c r="B162" s="15" t="s">
        <v>551</v>
      </c>
      <c r="C162" s="4">
        <f>D162+E162+F162+G162</f>
        <v>425</v>
      </c>
      <c r="D162" s="4">
        <f>250+175</f>
        <v>425</v>
      </c>
      <c r="E162" s="4">
        <v>0</v>
      </c>
      <c r="F162" s="4">
        <v>0</v>
      </c>
      <c r="G162" s="4"/>
    </row>
    <row r="163" spans="1:7" ht="15" customHeight="1">
      <c r="A163" s="14"/>
      <c r="B163" s="15" t="s">
        <v>768</v>
      </c>
      <c r="C163" s="4">
        <f>D163+E163+F163+G163</f>
        <v>425</v>
      </c>
      <c r="D163" s="4">
        <v>425</v>
      </c>
      <c r="E163" s="4">
        <v>0</v>
      </c>
      <c r="F163" s="4">
        <v>0</v>
      </c>
      <c r="G163" s="4"/>
    </row>
    <row r="164" spans="1:7" ht="15" customHeight="1">
      <c r="A164" s="14"/>
      <c r="B164" s="14" t="s">
        <v>776</v>
      </c>
      <c r="C164" s="4">
        <f>D164+E164+F164+G164</f>
        <v>425</v>
      </c>
      <c r="D164" s="4">
        <v>0</v>
      </c>
      <c r="E164" s="4">
        <f>425</f>
        <v>425</v>
      </c>
      <c r="F164" s="4">
        <v>0</v>
      </c>
      <c r="G164" s="4"/>
    </row>
    <row r="165" spans="1:7" ht="15" customHeight="1">
      <c r="A165" s="14"/>
      <c r="B165" s="15" t="s">
        <v>735</v>
      </c>
      <c r="C165" s="4">
        <f>D165+E165+F165+G165</f>
        <v>425</v>
      </c>
      <c r="D165" s="4">
        <f>425</f>
        <v>425</v>
      </c>
      <c r="E165" s="4">
        <v>0</v>
      </c>
      <c r="F165" s="4">
        <v>0</v>
      </c>
      <c r="G165" s="4"/>
    </row>
    <row r="166" spans="1:7" ht="15" customHeight="1">
      <c r="A166" s="14"/>
      <c r="B166" s="15" t="s">
        <v>749</v>
      </c>
      <c r="C166" s="4">
        <f>D166+E166+F166+G166</f>
        <v>425</v>
      </c>
      <c r="D166" s="4">
        <f>425</f>
        <v>425</v>
      </c>
      <c r="E166" s="4">
        <v>0</v>
      </c>
      <c r="F166" s="4">
        <v>0</v>
      </c>
      <c r="G166" s="4"/>
    </row>
    <row r="167" spans="1:7" ht="15" customHeight="1">
      <c r="A167" s="14"/>
      <c r="B167" s="15" t="s">
        <v>741</v>
      </c>
      <c r="C167" s="4">
        <f>D167+E167+F167+G167</f>
        <v>425</v>
      </c>
      <c r="D167" s="4">
        <f>425</f>
        <v>425</v>
      </c>
      <c r="E167" s="4">
        <v>0</v>
      </c>
      <c r="F167" s="4">
        <v>0</v>
      </c>
      <c r="G167" s="4"/>
    </row>
    <row r="168" spans="1:7" ht="15" customHeight="1">
      <c r="A168" s="14"/>
      <c r="B168" s="15" t="s">
        <v>779</v>
      </c>
      <c r="C168" s="4">
        <f>D168+E168+F168+G168</f>
        <v>425</v>
      </c>
      <c r="D168" s="4">
        <v>0</v>
      </c>
      <c r="E168" s="4">
        <f>425</f>
        <v>425</v>
      </c>
      <c r="F168" s="4">
        <v>0</v>
      </c>
      <c r="G168" s="4"/>
    </row>
    <row r="169" spans="1:7" ht="15" customHeight="1">
      <c r="A169" s="14"/>
      <c r="B169" s="15" t="s">
        <v>336</v>
      </c>
      <c r="C169" s="4">
        <f>D169+E169+F169+G169</f>
        <v>385</v>
      </c>
      <c r="D169" s="4">
        <v>0</v>
      </c>
      <c r="E169" s="4">
        <f>225+160</f>
        <v>385</v>
      </c>
      <c r="F169" s="4">
        <v>0</v>
      </c>
      <c r="G169" s="4"/>
    </row>
    <row r="170" spans="1:7" ht="15" customHeight="1">
      <c r="A170" s="14"/>
      <c r="B170" s="15" t="s">
        <v>379</v>
      </c>
      <c r="C170" s="4">
        <f>D170+E170+F170+G170</f>
        <v>375</v>
      </c>
      <c r="D170" s="4">
        <v>0</v>
      </c>
      <c r="E170" s="4">
        <v>375</v>
      </c>
      <c r="F170" s="4">
        <v>0</v>
      </c>
      <c r="G170" s="4"/>
    </row>
    <row r="171" spans="1:7" ht="15" customHeight="1">
      <c r="A171" s="14"/>
      <c r="B171" s="15" t="s">
        <v>827</v>
      </c>
      <c r="C171" s="4">
        <f>D171+E171+F171+G171</f>
        <v>375</v>
      </c>
      <c r="D171" s="4">
        <v>0</v>
      </c>
      <c r="E171" s="4">
        <f>375</f>
        <v>375</v>
      </c>
      <c r="F171" s="4">
        <v>0</v>
      </c>
      <c r="G171" s="4"/>
    </row>
    <row r="172" spans="1:7" ht="15" customHeight="1">
      <c r="A172" s="14"/>
      <c r="B172" s="15" t="s">
        <v>626</v>
      </c>
      <c r="C172" s="4">
        <f>D172+E172+F172+G172</f>
        <v>375</v>
      </c>
      <c r="D172" s="4">
        <f>375</f>
        <v>375</v>
      </c>
      <c r="E172" s="4">
        <v>0</v>
      </c>
      <c r="F172" s="4">
        <v>0</v>
      </c>
      <c r="G172" s="4"/>
    </row>
    <row r="173" spans="1:7" ht="15" customHeight="1">
      <c r="A173" s="14"/>
      <c r="B173" s="15" t="s">
        <v>648</v>
      </c>
      <c r="C173" s="4">
        <f>D173+E173+F173+G173</f>
        <v>375</v>
      </c>
      <c r="D173" s="4">
        <v>0</v>
      </c>
      <c r="E173" s="4">
        <v>0</v>
      </c>
      <c r="F173" s="4">
        <f>375</f>
        <v>375</v>
      </c>
      <c r="G173" s="4"/>
    </row>
    <row r="174" spans="1:7" ht="15" customHeight="1">
      <c r="A174" s="14"/>
      <c r="B174" s="15" t="s">
        <v>822</v>
      </c>
      <c r="C174" s="4">
        <f>D174+E174+F174+G174</f>
        <v>375</v>
      </c>
      <c r="D174" s="4">
        <v>0</v>
      </c>
      <c r="E174" s="4">
        <f>375</f>
        <v>375</v>
      </c>
      <c r="F174" s="4">
        <v>0</v>
      </c>
      <c r="G174" s="4"/>
    </row>
    <row r="175" spans="1:7" ht="15" customHeight="1">
      <c r="A175" s="14"/>
      <c r="B175" s="15" t="s">
        <v>811</v>
      </c>
      <c r="C175" s="4">
        <f>D175+E175+F175+G175</f>
        <v>375</v>
      </c>
      <c r="D175" s="4">
        <v>0</v>
      </c>
      <c r="E175" s="4">
        <f>375</f>
        <v>375</v>
      </c>
      <c r="F175" s="4">
        <v>0</v>
      </c>
      <c r="G175" s="4"/>
    </row>
    <row r="176" spans="1:7" ht="15" customHeight="1">
      <c r="A176" s="14"/>
      <c r="B176" s="15" t="s">
        <v>669</v>
      </c>
      <c r="C176" s="4">
        <f>D176+E176+F176+G176</f>
        <v>375</v>
      </c>
      <c r="D176" s="4">
        <f>375</f>
        <v>375</v>
      </c>
      <c r="E176" s="4">
        <v>0</v>
      </c>
      <c r="F176" s="4">
        <v>0</v>
      </c>
      <c r="G176" s="4"/>
    </row>
    <row r="177" spans="1:7" ht="15" customHeight="1">
      <c r="A177" s="14"/>
      <c r="B177" s="15" t="s">
        <v>637</v>
      </c>
      <c r="C177" s="4">
        <f>D177+E177+F177+G177</f>
        <v>370</v>
      </c>
      <c r="D177" s="4">
        <f>145+225</f>
        <v>370</v>
      </c>
      <c r="E177" s="4">
        <v>0</v>
      </c>
      <c r="F177" s="4">
        <v>0</v>
      </c>
      <c r="G177" s="4"/>
    </row>
    <row r="178" spans="1:7" ht="15" customHeight="1">
      <c r="A178" s="14"/>
      <c r="B178" s="15" t="s">
        <v>567</v>
      </c>
      <c r="C178" s="4">
        <f>D178+E178+F178+G178</f>
        <v>360</v>
      </c>
      <c r="D178" s="4">
        <f>160+200</f>
        <v>360</v>
      </c>
      <c r="E178" s="4">
        <v>0</v>
      </c>
      <c r="F178" s="4">
        <v>0</v>
      </c>
      <c r="G178" s="4"/>
    </row>
    <row r="179" spans="1:7" ht="15" customHeight="1">
      <c r="A179" s="14"/>
      <c r="B179" s="14" t="s">
        <v>426</v>
      </c>
      <c r="C179" s="4">
        <f>D179+E179+F179+G179</f>
        <v>350</v>
      </c>
      <c r="D179" s="4">
        <v>0</v>
      </c>
      <c r="E179" s="4">
        <f>350</f>
        <v>350</v>
      </c>
      <c r="F179" s="4">
        <v>0</v>
      </c>
      <c r="G179" s="4"/>
    </row>
    <row r="180" spans="1:7" ht="15" customHeight="1">
      <c r="A180" s="14"/>
      <c r="B180" s="15" t="s">
        <v>755</v>
      </c>
      <c r="C180" s="4">
        <f>D180+E180+F180+G180</f>
        <v>350</v>
      </c>
      <c r="D180" s="4">
        <v>350</v>
      </c>
      <c r="E180" s="4">
        <v>0</v>
      </c>
      <c r="F180" s="4">
        <v>0</v>
      </c>
      <c r="G180" s="4"/>
    </row>
    <row r="181" spans="1:7" ht="15" customHeight="1">
      <c r="A181" s="14"/>
      <c r="B181" s="15" t="s">
        <v>789</v>
      </c>
      <c r="C181" s="4">
        <f>D181+E181+F181+G181</f>
        <v>350</v>
      </c>
      <c r="D181" s="4">
        <v>0</v>
      </c>
      <c r="E181" s="4">
        <f>350</f>
        <v>350</v>
      </c>
      <c r="F181" s="4">
        <v>0</v>
      </c>
      <c r="G181" s="4"/>
    </row>
    <row r="182" spans="1:7" ht="15" customHeight="1">
      <c r="A182" s="14"/>
      <c r="B182" s="15" t="s">
        <v>795</v>
      </c>
      <c r="C182" s="4">
        <f>D182+E182+F182+G182</f>
        <v>350</v>
      </c>
      <c r="D182" s="4">
        <v>0</v>
      </c>
      <c r="E182" s="4">
        <f>350</f>
        <v>350</v>
      </c>
      <c r="F182" s="4">
        <v>0</v>
      </c>
      <c r="G182" s="4"/>
    </row>
    <row r="183" spans="1:7" ht="15" customHeight="1">
      <c r="A183" s="14"/>
      <c r="B183" s="15" t="s">
        <v>804</v>
      </c>
      <c r="C183" s="4">
        <f>D183+E183+F183+G183</f>
        <v>350</v>
      </c>
      <c r="D183" s="4">
        <v>0</v>
      </c>
      <c r="E183" s="4">
        <f>350</f>
        <v>350</v>
      </c>
      <c r="F183" s="4">
        <v>0</v>
      </c>
      <c r="G183" s="4"/>
    </row>
    <row r="184" spans="1:7" ht="15" customHeight="1">
      <c r="A184" s="14"/>
      <c r="B184" s="15" t="s">
        <v>766</v>
      </c>
      <c r="C184" s="4">
        <f>D184+E184+F184+G184</f>
        <v>350</v>
      </c>
      <c r="D184" s="4">
        <v>350</v>
      </c>
      <c r="E184" s="4">
        <v>0</v>
      </c>
      <c r="F184" s="4">
        <v>0</v>
      </c>
      <c r="G184" s="4"/>
    </row>
    <row r="185" spans="1:7" ht="15" customHeight="1">
      <c r="A185" s="14"/>
      <c r="B185" s="15" t="s">
        <v>812</v>
      </c>
      <c r="C185" s="4">
        <f>D185+E185+F185+G185</f>
        <v>350</v>
      </c>
      <c r="D185" s="4">
        <v>0</v>
      </c>
      <c r="E185" s="4">
        <f>350</f>
        <v>350</v>
      </c>
      <c r="F185" s="4">
        <v>0</v>
      </c>
      <c r="G185" s="4"/>
    </row>
    <row r="186" spans="1:7" ht="15" customHeight="1">
      <c r="A186" s="14"/>
      <c r="B186" s="15" t="s">
        <v>837</v>
      </c>
      <c r="C186" s="4">
        <f>D186+E186+F186+G186</f>
        <v>350</v>
      </c>
      <c r="D186" s="4">
        <v>0</v>
      </c>
      <c r="E186" s="4">
        <v>0</v>
      </c>
      <c r="F186" s="4">
        <f>350</f>
        <v>350</v>
      </c>
      <c r="G186" s="4"/>
    </row>
    <row r="187" spans="1:7" ht="15" customHeight="1">
      <c r="A187" s="14"/>
      <c r="B187" s="15" t="s">
        <v>120</v>
      </c>
      <c r="C187" s="4">
        <f>D187+E187+F187+G187</f>
        <v>350</v>
      </c>
      <c r="D187" s="4">
        <f>350</f>
        <v>350</v>
      </c>
      <c r="E187" s="4">
        <v>0</v>
      </c>
      <c r="F187" s="4">
        <v>0</v>
      </c>
      <c r="G187" s="4"/>
    </row>
    <row r="188" spans="1:7" ht="15" customHeight="1">
      <c r="A188" s="14"/>
      <c r="B188" s="15" t="s">
        <v>820</v>
      </c>
      <c r="C188" s="4">
        <f>D188+E188+F188+G188</f>
        <v>350</v>
      </c>
      <c r="D188" s="4">
        <v>0</v>
      </c>
      <c r="E188" s="4">
        <f>350</f>
        <v>350</v>
      </c>
      <c r="F188" s="4">
        <v>0</v>
      </c>
      <c r="G188" s="4"/>
    </row>
    <row r="189" spans="1:7" ht="15" customHeight="1">
      <c r="A189" s="14"/>
      <c r="B189" s="15" t="s">
        <v>121</v>
      </c>
      <c r="C189" s="4">
        <f>D189+E189+F189+G189</f>
        <v>350</v>
      </c>
      <c r="D189" s="4">
        <f>350</f>
        <v>350</v>
      </c>
      <c r="E189" s="4">
        <v>0</v>
      </c>
      <c r="F189" s="4">
        <v>0</v>
      </c>
      <c r="G189" s="4"/>
    </row>
    <row r="190" spans="1:7" ht="15" customHeight="1">
      <c r="A190" s="14"/>
      <c r="B190" s="15" t="s">
        <v>780</v>
      </c>
      <c r="C190" s="4">
        <f>D190+E190+F190+G190</f>
        <v>350</v>
      </c>
      <c r="D190" s="4">
        <v>0</v>
      </c>
      <c r="E190" s="4">
        <f>350</f>
        <v>350</v>
      </c>
      <c r="F190" s="4">
        <v>0</v>
      </c>
      <c r="G190" s="4"/>
    </row>
    <row r="191" spans="1:7" ht="15" customHeight="1">
      <c r="A191" s="14"/>
      <c r="B191" s="15" t="s">
        <v>723</v>
      </c>
      <c r="C191" s="4">
        <f>D191+E191+F191+G191</f>
        <v>330</v>
      </c>
      <c r="D191" s="4">
        <f>130+200</f>
        <v>330</v>
      </c>
      <c r="E191" s="4">
        <v>0</v>
      </c>
      <c r="F191" s="4">
        <v>0</v>
      </c>
      <c r="G191" s="4"/>
    </row>
    <row r="192" spans="1:7" ht="15" customHeight="1">
      <c r="A192" s="14"/>
      <c r="B192" s="14" t="s">
        <v>762</v>
      </c>
      <c r="C192" s="4">
        <f>D192+E192+F192+G192</f>
        <v>325</v>
      </c>
      <c r="D192" s="4">
        <f>325</f>
        <v>325</v>
      </c>
      <c r="E192" s="4">
        <v>0</v>
      </c>
      <c r="F192" s="4">
        <v>0</v>
      </c>
      <c r="G192" s="4"/>
    </row>
    <row r="193" spans="1:7" ht="15" customHeight="1">
      <c r="A193" s="14"/>
      <c r="B193" s="15" t="s">
        <v>781</v>
      </c>
      <c r="C193" s="4">
        <f>D193+E193+F193+G193</f>
        <v>325</v>
      </c>
      <c r="D193" s="4">
        <v>0</v>
      </c>
      <c r="E193" s="4">
        <f>325</f>
        <v>325</v>
      </c>
      <c r="F193" s="4">
        <v>0</v>
      </c>
      <c r="G193" s="4"/>
    </row>
    <row r="194" spans="1:7" ht="15" customHeight="1">
      <c r="A194" s="14"/>
      <c r="B194" s="15" t="s">
        <v>739</v>
      </c>
      <c r="C194" s="4">
        <f>D194+E194+F194+G194</f>
        <v>325</v>
      </c>
      <c r="D194" s="4">
        <f>325</f>
        <v>325</v>
      </c>
      <c r="E194" s="4">
        <v>0</v>
      </c>
      <c r="F194" s="4">
        <v>0</v>
      </c>
      <c r="G194" s="4"/>
    </row>
    <row r="195" spans="1:7" ht="15" customHeight="1">
      <c r="A195" s="14"/>
      <c r="B195" s="15" t="s">
        <v>815</v>
      </c>
      <c r="C195" s="4">
        <f>D195+E195+F195+G195</f>
        <v>325</v>
      </c>
      <c r="D195" s="4">
        <v>0</v>
      </c>
      <c r="E195" s="4">
        <f>325</f>
        <v>325</v>
      </c>
      <c r="F195" s="4">
        <v>0</v>
      </c>
      <c r="G195" s="4"/>
    </row>
    <row r="196" spans="1:7" ht="15" customHeight="1">
      <c r="A196" s="14"/>
      <c r="B196" s="15" t="s">
        <v>16</v>
      </c>
      <c r="C196" s="4">
        <f>D196+E196+F196+G196</f>
        <v>325</v>
      </c>
      <c r="D196" s="4">
        <f>325</f>
        <v>325</v>
      </c>
      <c r="E196" s="4">
        <v>0</v>
      </c>
      <c r="F196" s="4">
        <v>0</v>
      </c>
      <c r="G196" s="4"/>
    </row>
    <row r="197" spans="1:7" ht="15" customHeight="1">
      <c r="A197" s="14"/>
      <c r="B197" s="15" t="s">
        <v>771</v>
      </c>
      <c r="C197" s="4">
        <f>D197+E197+F197+G197</f>
        <v>325</v>
      </c>
      <c r="D197" s="4">
        <f>325</f>
        <v>325</v>
      </c>
      <c r="E197" s="4">
        <v>0</v>
      </c>
      <c r="F197" s="4">
        <v>0</v>
      </c>
      <c r="G197" s="4"/>
    </row>
    <row r="198" spans="1:7" ht="15" customHeight="1">
      <c r="A198" s="14"/>
      <c r="B198" s="15" t="s">
        <v>821</v>
      </c>
      <c r="C198" s="4">
        <f>D198+E198+F198+G198</f>
        <v>325</v>
      </c>
      <c r="D198" s="4">
        <v>0</v>
      </c>
      <c r="E198" s="4">
        <f>325</f>
        <v>325</v>
      </c>
      <c r="F198" s="4">
        <v>0</v>
      </c>
      <c r="G198" s="4"/>
    </row>
    <row r="199" spans="1:7" ht="15" customHeight="1">
      <c r="A199" s="14"/>
      <c r="B199" s="15" t="s">
        <v>786</v>
      </c>
      <c r="C199" s="4">
        <f>D199+E199+F199+G199</f>
        <v>320</v>
      </c>
      <c r="D199" s="4">
        <v>0</v>
      </c>
      <c r="E199" s="4">
        <f>160+160</f>
        <v>320</v>
      </c>
      <c r="F199" s="4">
        <v>0</v>
      </c>
      <c r="G199" s="4"/>
    </row>
    <row r="200" spans="1:7" ht="15" customHeight="1">
      <c r="A200" s="14"/>
      <c r="B200" s="15" t="s">
        <v>817</v>
      </c>
      <c r="C200" s="4">
        <f>D200+E200+F200+G200</f>
        <v>300</v>
      </c>
      <c r="D200" s="4">
        <v>0</v>
      </c>
      <c r="E200" s="4">
        <f>300</f>
        <v>300</v>
      </c>
      <c r="F200" s="4">
        <v>0</v>
      </c>
      <c r="G200" s="4"/>
    </row>
    <row r="201" spans="1:7" ht="15" customHeight="1">
      <c r="A201" s="14"/>
      <c r="B201" s="14" t="s">
        <v>731</v>
      </c>
      <c r="C201" s="4">
        <f>D201+E201+F201+G201</f>
        <v>300</v>
      </c>
      <c r="D201" s="4">
        <f>300</f>
        <v>300</v>
      </c>
      <c r="E201" s="4">
        <v>0</v>
      </c>
      <c r="F201" s="4">
        <v>0</v>
      </c>
      <c r="G201" s="4"/>
    </row>
    <row r="202" spans="1:7" ht="15" customHeight="1">
      <c r="A202" s="14"/>
      <c r="B202" s="15" t="s">
        <v>501</v>
      </c>
      <c r="C202" s="4">
        <f>D202+E202+F202+G202</f>
        <v>300</v>
      </c>
      <c r="D202" s="4">
        <v>0</v>
      </c>
      <c r="E202" s="4">
        <f>300</f>
        <v>300</v>
      </c>
      <c r="F202" s="4">
        <v>0</v>
      </c>
      <c r="G202" s="4"/>
    </row>
    <row r="203" spans="1:7" ht="15" customHeight="1">
      <c r="A203" s="14"/>
      <c r="B203" s="15" t="s">
        <v>102</v>
      </c>
      <c r="C203" s="4">
        <f>D203+E203+F203+G203</f>
        <v>300</v>
      </c>
      <c r="D203" s="4">
        <f>300</f>
        <v>300</v>
      </c>
      <c r="E203" s="4">
        <v>0</v>
      </c>
      <c r="F203" s="4">
        <v>0</v>
      </c>
      <c r="G203" s="4"/>
    </row>
    <row r="204" spans="1:7" ht="15" customHeight="1">
      <c r="A204" s="14"/>
      <c r="B204" s="15" t="s">
        <v>770</v>
      </c>
      <c r="C204" s="4">
        <f>D204+E204+F204+G204</f>
        <v>300</v>
      </c>
      <c r="D204" s="4">
        <v>0</v>
      </c>
      <c r="E204" s="4">
        <f>300</f>
        <v>300</v>
      </c>
      <c r="F204" s="4">
        <v>0</v>
      </c>
      <c r="G204" s="4"/>
    </row>
    <row r="205" spans="1:7" ht="15" customHeight="1">
      <c r="A205" s="14"/>
      <c r="B205" s="15" t="s">
        <v>763</v>
      </c>
      <c r="C205" s="4">
        <f>D205+E205+F205+G205</f>
        <v>300</v>
      </c>
      <c r="D205" s="4">
        <f>300</f>
        <v>300</v>
      </c>
      <c r="E205" s="4">
        <v>0</v>
      </c>
      <c r="F205" s="4">
        <v>0</v>
      </c>
      <c r="G205" s="4"/>
    </row>
    <row r="206" spans="1:7" ht="15" customHeight="1">
      <c r="A206" s="14"/>
      <c r="B206" s="15" t="s">
        <v>742</v>
      </c>
      <c r="C206" s="4">
        <f>D206+E206+F206+G206</f>
        <v>300</v>
      </c>
      <c r="D206" s="4">
        <f>300</f>
        <v>300</v>
      </c>
      <c r="E206" s="4">
        <v>0</v>
      </c>
      <c r="F206" s="4">
        <v>0</v>
      </c>
      <c r="G206" s="4"/>
    </row>
    <row r="207" spans="1:7" ht="15" customHeight="1">
      <c r="A207" s="14"/>
      <c r="B207" s="15" t="s">
        <v>844</v>
      </c>
      <c r="C207" s="4">
        <f>D207+E207+F207+G207</f>
        <v>300</v>
      </c>
      <c r="D207" s="4">
        <v>0</v>
      </c>
      <c r="E207" s="4">
        <v>0</v>
      </c>
      <c r="F207" s="4">
        <f>300</f>
        <v>300</v>
      </c>
      <c r="G207" s="4"/>
    </row>
    <row r="208" spans="1:7" ht="15" customHeight="1">
      <c r="A208" s="14"/>
      <c r="B208" s="15" t="s">
        <v>819</v>
      </c>
      <c r="C208" s="4">
        <f>D208+E208+F208+G208</f>
        <v>300</v>
      </c>
      <c r="D208" s="4">
        <v>0</v>
      </c>
      <c r="E208" s="4">
        <f>300</f>
        <v>300</v>
      </c>
      <c r="F208" s="4">
        <v>0</v>
      </c>
      <c r="G208" s="4"/>
    </row>
    <row r="209" spans="1:7" ht="15" customHeight="1">
      <c r="A209" s="14"/>
      <c r="B209" s="15" t="s">
        <v>787</v>
      </c>
      <c r="C209" s="4">
        <f>D209+E209+F209+G209</f>
        <v>290</v>
      </c>
      <c r="D209" s="4">
        <v>0</v>
      </c>
      <c r="E209" s="4">
        <f>145+145</f>
        <v>290</v>
      </c>
      <c r="F209" s="4">
        <v>0</v>
      </c>
      <c r="G209" s="4"/>
    </row>
    <row r="210" spans="1:7" ht="15" customHeight="1">
      <c r="A210" s="14"/>
      <c r="B210" s="15" t="s">
        <v>18</v>
      </c>
      <c r="C210" s="4">
        <f>D210+E210+F210+G210</f>
        <v>275</v>
      </c>
      <c r="D210" s="4">
        <f>275</f>
        <v>275</v>
      </c>
      <c r="E210" s="4">
        <v>0</v>
      </c>
      <c r="F210" s="4">
        <v>0</v>
      </c>
      <c r="G210" s="4"/>
    </row>
    <row r="211" spans="1:7" ht="15" customHeight="1">
      <c r="A211" s="14"/>
      <c r="B211" s="15" t="s">
        <v>782</v>
      </c>
      <c r="C211" s="4">
        <f>D211+E211+F211+G211</f>
        <v>275</v>
      </c>
      <c r="D211" s="4">
        <v>0</v>
      </c>
      <c r="E211" s="4">
        <f>275</f>
        <v>275</v>
      </c>
      <c r="F211" s="4">
        <v>0</v>
      </c>
      <c r="G211" s="4"/>
    </row>
    <row r="212" spans="1:7" ht="15" customHeight="1">
      <c r="A212" s="14"/>
      <c r="B212" s="15" t="s">
        <v>848</v>
      </c>
      <c r="C212" s="4">
        <f>D212+E212+F212+G212</f>
        <v>275</v>
      </c>
      <c r="D212" s="4">
        <v>0</v>
      </c>
      <c r="E212" s="4">
        <v>0</v>
      </c>
      <c r="F212" s="4">
        <f>275</f>
        <v>275</v>
      </c>
      <c r="G212" s="4"/>
    </row>
    <row r="213" spans="1:7" ht="15" customHeight="1">
      <c r="A213" s="14"/>
      <c r="B213" s="15" t="s">
        <v>805</v>
      </c>
      <c r="C213" s="4">
        <f>D213+E213+F213+G213</f>
        <v>275</v>
      </c>
      <c r="D213" s="4">
        <v>0</v>
      </c>
      <c r="E213" s="4">
        <f>275</f>
        <v>275</v>
      </c>
      <c r="F213" s="4">
        <v>0</v>
      </c>
      <c r="G213" s="4"/>
    </row>
    <row r="214" spans="1:7" ht="15" customHeight="1">
      <c r="A214" s="14"/>
      <c r="B214" s="15" t="s">
        <v>733</v>
      </c>
      <c r="C214" s="4">
        <f>D214+E214+F214+G214</f>
        <v>275</v>
      </c>
      <c r="D214" s="4">
        <f>275</f>
        <v>275</v>
      </c>
      <c r="E214" s="4">
        <v>0</v>
      </c>
      <c r="F214" s="4">
        <v>0</v>
      </c>
      <c r="G214" s="4"/>
    </row>
    <row r="215" spans="1:7" ht="15" customHeight="1">
      <c r="A215" s="14"/>
      <c r="B215" s="15" t="s">
        <v>806</v>
      </c>
      <c r="C215" s="4">
        <f>D215+E215+F215+G215</f>
        <v>275</v>
      </c>
      <c r="D215" s="4">
        <v>0</v>
      </c>
      <c r="E215" s="4">
        <f>275</f>
        <v>275</v>
      </c>
      <c r="F215" s="4">
        <v>0</v>
      </c>
      <c r="G215" s="4"/>
    </row>
    <row r="216" spans="1:7" ht="15" customHeight="1">
      <c r="A216" s="14"/>
      <c r="B216" s="15" t="s">
        <v>791</v>
      </c>
      <c r="C216" s="4">
        <f>D216+E216+F216+G216</f>
        <v>275</v>
      </c>
      <c r="D216" s="4">
        <v>0</v>
      </c>
      <c r="E216" s="4">
        <f>275</f>
        <v>275</v>
      </c>
      <c r="F216" s="4">
        <v>0</v>
      </c>
      <c r="G216" s="4"/>
    </row>
    <row r="217" spans="1:7" ht="15" customHeight="1">
      <c r="A217" s="14"/>
      <c r="B217" s="15" t="s">
        <v>823</v>
      </c>
      <c r="C217" s="4">
        <f>D217+E217+F217+G217</f>
        <v>275</v>
      </c>
      <c r="D217" s="4">
        <v>0</v>
      </c>
      <c r="E217" s="4">
        <f>275</f>
        <v>275</v>
      </c>
      <c r="F217" s="4">
        <v>0</v>
      </c>
      <c r="G217" s="4"/>
    </row>
    <row r="218" spans="1:7" ht="15" customHeight="1">
      <c r="A218" s="14"/>
      <c r="B218" s="15" t="s">
        <v>845</v>
      </c>
      <c r="C218" s="4">
        <f>D218+E218+F218+G218</f>
        <v>275</v>
      </c>
      <c r="D218" s="4">
        <v>0</v>
      </c>
      <c r="E218" s="4">
        <v>0</v>
      </c>
      <c r="F218" s="4">
        <f>275</f>
        <v>275</v>
      </c>
      <c r="G218" s="4"/>
    </row>
    <row r="219" spans="1:7" ht="15" customHeight="1">
      <c r="A219" s="14"/>
      <c r="B219" s="15" t="s">
        <v>792</v>
      </c>
      <c r="C219" s="4">
        <f>D219+E219+F219+G219</f>
        <v>275</v>
      </c>
      <c r="D219" s="4">
        <v>0</v>
      </c>
      <c r="E219" s="4">
        <f>275</f>
        <v>275</v>
      </c>
      <c r="F219" s="4">
        <v>0</v>
      </c>
      <c r="G219" s="4"/>
    </row>
    <row r="220" spans="1:7" ht="15" customHeight="1">
      <c r="A220" s="14"/>
      <c r="B220" s="15" t="s">
        <v>728</v>
      </c>
      <c r="C220" s="4">
        <f>D220+E220+F220+G220</f>
        <v>275</v>
      </c>
      <c r="D220" s="4">
        <f>275</f>
        <v>275</v>
      </c>
      <c r="E220" s="4">
        <v>0</v>
      </c>
      <c r="F220" s="4">
        <v>0</v>
      </c>
      <c r="G220" s="4"/>
    </row>
    <row r="221" spans="1:7" ht="15" customHeight="1">
      <c r="A221" s="14"/>
      <c r="B221" s="15" t="s">
        <v>211</v>
      </c>
      <c r="C221" s="4">
        <f>D221+E221+F221+G221</f>
        <v>275</v>
      </c>
      <c r="D221" s="4">
        <v>0</v>
      </c>
      <c r="E221" s="4">
        <f>275</f>
        <v>275</v>
      </c>
      <c r="F221" s="4">
        <v>0</v>
      </c>
      <c r="G221" s="4"/>
    </row>
    <row r="222" spans="1:7" ht="15" customHeight="1">
      <c r="A222" s="14"/>
      <c r="B222" s="15" t="s">
        <v>839</v>
      </c>
      <c r="C222" s="4">
        <f>D222+E222+F222+G222</f>
        <v>275</v>
      </c>
      <c r="D222" s="4">
        <v>0</v>
      </c>
      <c r="E222" s="4">
        <v>0</v>
      </c>
      <c r="F222" s="4">
        <f>275</f>
        <v>275</v>
      </c>
      <c r="G222" s="4"/>
    </row>
    <row r="223" spans="1:7" ht="15" customHeight="1">
      <c r="A223" s="14"/>
      <c r="B223" s="15" t="s">
        <v>813</v>
      </c>
      <c r="C223" s="4">
        <f>D223+E223+F223+G223</f>
        <v>275</v>
      </c>
      <c r="D223" s="4">
        <v>0</v>
      </c>
      <c r="E223" s="4">
        <f>275</f>
        <v>275</v>
      </c>
      <c r="F223" s="4">
        <v>0</v>
      </c>
      <c r="G223" s="4"/>
    </row>
    <row r="224" spans="1:7" ht="15" customHeight="1">
      <c r="A224" s="14"/>
      <c r="B224" s="15" t="s">
        <v>748</v>
      </c>
      <c r="C224" s="4">
        <f>D224+E224+F224+G224</f>
        <v>275</v>
      </c>
      <c r="D224" s="4">
        <f>145</f>
        <v>145</v>
      </c>
      <c r="E224" s="4">
        <f>130</f>
        <v>130</v>
      </c>
      <c r="F224" s="4">
        <v>0</v>
      </c>
      <c r="G224" s="4"/>
    </row>
    <row r="225" spans="1:7" ht="15" customHeight="1">
      <c r="A225" s="14"/>
      <c r="B225" s="15" t="s">
        <v>729</v>
      </c>
      <c r="C225" s="4">
        <f>D225+E225+F225+G225</f>
        <v>250</v>
      </c>
      <c r="D225" s="4">
        <f>250</f>
        <v>250</v>
      </c>
      <c r="E225" s="4">
        <v>0</v>
      </c>
      <c r="F225" s="4">
        <v>0</v>
      </c>
      <c r="G225" s="4"/>
    </row>
    <row r="226" spans="1:7" ht="15" customHeight="1">
      <c r="A226" s="14"/>
      <c r="B226" s="15" t="s">
        <v>759</v>
      </c>
      <c r="C226" s="4">
        <f>D226+E226+F226+G226</f>
        <v>250</v>
      </c>
      <c r="D226" s="4">
        <f>250</f>
        <v>250</v>
      </c>
      <c r="E226" s="4">
        <v>0</v>
      </c>
      <c r="F226" s="4">
        <v>0</v>
      </c>
      <c r="G226" s="4"/>
    </row>
    <row r="227" spans="1:7" ht="15" customHeight="1">
      <c r="A227" s="14"/>
      <c r="B227" s="15" t="s">
        <v>756</v>
      </c>
      <c r="C227" s="4">
        <f>D227+E227+F227+G227</f>
        <v>250</v>
      </c>
      <c r="D227" s="4">
        <v>250</v>
      </c>
      <c r="E227" s="4">
        <v>0</v>
      </c>
      <c r="F227" s="4">
        <v>0</v>
      </c>
      <c r="G227" s="4"/>
    </row>
    <row r="228" spans="1:7" ht="15" customHeight="1">
      <c r="A228" s="14"/>
      <c r="B228" s="15" t="s">
        <v>727</v>
      </c>
      <c r="C228" s="4">
        <f>D228+E228+F228+G228</f>
        <v>250</v>
      </c>
      <c r="D228" s="4">
        <f>250</f>
        <v>250</v>
      </c>
      <c r="E228" s="4">
        <v>0</v>
      </c>
      <c r="F228" s="4">
        <v>0</v>
      </c>
      <c r="G228" s="4"/>
    </row>
    <row r="229" spans="1:7" ht="15" customHeight="1">
      <c r="A229" s="14"/>
      <c r="B229" s="15" t="s">
        <v>829</v>
      </c>
      <c r="C229" s="4">
        <f>D229+E229+F229+G229</f>
        <v>250</v>
      </c>
      <c r="D229" s="4">
        <v>0</v>
      </c>
      <c r="E229" s="4">
        <v>0</v>
      </c>
      <c r="F229" s="4">
        <f>250</f>
        <v>250</v>
      </c>
      <c r="G229" s="4"/>
    </row>
    <row r="230" spans="1:7" ht="15" customHeight="1">
      <c r="A230" s="14"/>
      <c r="B230" s="15" t="s">
        <v>838</v>
      </c>
      <c r="C230" s="4">
        <f>D230+E230+F230+G230</f>
        <v>250</v>
      </c>
      <c r="D230" s="4">
        <v>0</v>
      </c>
      <c r="E230" s="4">
        <v>0</v>
      </c>
      <c r="F230" s="4">
        <f>250</f>
        <v>250</v>
      </c>
      <c r="G230" s="4"/>
    </row>
    <row r="231" spans="1:7" ht="15" customHeight="1">
      <c r="A231" s="14"/>
      <c r="B231" s="15" t="s">
        <v>807</v>
      </c>
      <c r="C231" s="4">
        <f>D231+E231+F231+G231</f>
        <v>250</v>
      </c>
      <c r="D231" s="4">
        <v>0</v>
      </c>
      <c r="E231" s="4">
        <f>250</f>
        <v>250</v>
      </c>
      <c r="F231" s="4">
        <v>0</v>
      </c>
      <c r="G231" s="4"/>
    </row>
    <row r="232" spans="1:7" ht="15" customHeight="1">
      <c r="A232" s="14"/>
      <c r="B232" s="15" t="s">
        <v>842</v>
      </c>
      <c r="C232" s="4">
        <f>D232+E232+F232+G232</f>
        <v>225</v>
      </c>
      <c r="D232" s="4">
        <v>0</v>
      </c>
      <c r="E232" s="4">
        <v>0</v>
      </c>
      <c r="F232" s="4">
        <f>225</f>
        <v>225</v>
      </c>
      <c r="G232" s="4"/>
    </row>
    <row r="233" spans="1:7" ht="15" customHeight="1">
      <c r="A233" s="14"/>
      <c r="B233" s="14" t="s">
        <v>68</v>
      </c>
      <c r="C233" s="4">
        <f>D233+E233+F233+G233</f>
        <v>225</v>
      </c>
      <c r="D233" s="4">
        <f>225</f>
        <v>225</v>
      </c>
      <c r="E233" s="4">
        <v>0</v>
      </c>
      <c r="F233" s="4">
        <v>0</v>
      </c>
      <c r="G233" s="4"/>
    </row>
    <row r="234" spans="1:7" ht="15" customHeight="1">
      <c r="A234" s="14"/>
      <c r="B234" s="15" t="s">
        <v>156</v>
      </c>
      <c r="C234" s="4">
        <f>D234+E234+F234+G234</f>
        <v>225</v>
      </c>
      <c r="D234" s="4">
        <v>0</v>
      </c>
      <c r="E234" s="4">
        <f>225</f>
        <v>225</v>
      </c>
      <c r="F234" s="4">
        <v>0</v>
      </c>
      <c r="G234" s="4"/>
    </row>
    <row r="235" spans="1:7" ht="15" customHeight="1">
      <c r="A235" s="14"/>
      <c r="B235" s="15" t="s">
        <v>769</v>
      </c>
      <c r="C235" s="4">
        <f>D235+E235+F235+G235</f>
        <v>225</v>
      </c>
      <c r="D235" s="4">
        <v>0</v>
      </c>
      <c r="E235" s="4">
        <f>225</f>
        <v>225</v>
      </c>
      <c r="F235" s="4">
        <v>0</v>
      </c>
      <c r="G235" s="4"/>
    </row>
    <row r="236" spans="1:7" ht="15" customHeight="1">
      <c r="A236" s="14"/>
      <c r="B236" s="15" t="s">
        <v>846</v>
      </c>
      <c r="C236" s="4">
        <f>D236+E236+F236+G236</f>
        <v>225</v>
      </c>
      <c r="D236" s="4">
        <v>0</v>
      </c>
      <c r="E236" s="4">
        <v>0</v>
      </c>
      <c r="F236" s="4">
        <f>225</f>
        <v>225</v>
      </c>
      <c r="G236" s="4"/>
    </row>
    <row r="237" spans="1:7" ht="15" customHeight="1">
      <c r="A237" s="14"/>
      <c r="B237" s="15" t="s">
        <v>803</v>
      </c>
      <c r="C237" s="4">
        <f>D237+E237+F237+G237</f>
        <v>225</v>
      </c>
      <c r="D237" s="4">
        <v>0</v>
      </c>
      <c r="E237" s="4">
        <f>225</f>
        <v>225</v>
      </c>
      <c r="F237" s="4">
        <v>0</v>
      </c>
      <c r="G237" s="4"/>
    </row>
    <row r="238" spans="1:7" ht="15" customHeight="1">
      <c r="A238" s="14"/>
      <c r="B238" s="15" t="s">
        <v>734</v>
      </c>
      <c r="C238" s="4">
        <f>D238+E238+F238+G238</f>
        <v>225</v>
      </c>
      <c r="D238" s="4">
        <f>225</f>
        <v>225</v>
      </c>
      <c r="E238" s="4">
        <v>0</v>
      </c>
      <c r="F238" s="4">
        <v>0</v>
      </c>
      <c r="G238" s="4"/>
    </row>
    <row r="239" spans="1:7" ht="15" customHeight="1">
      <c r="A239" s="14"/>
      <c r="B239" s="15" t="s">
        <v>830</v>
      </c>
      <c r="C239" s="4">
        <f>D239+E239+F239+G239</f>
        <v>225</v>
      </c>
      <c r="D239" s="4">
        <v>0</v>
      </c>
      <c r="E239" s="4">
        <v>0</v>
      </c>
      <c r="F239" s="4">
        <f>225</f>
        <v>225</v>
      </c>
      <c r="G239" s="4"/>
    </row>
    <row r="240" spans="1:7" ht="15" customHeight="1">
      <c r="A240" s="14"/>
      <c r="B240" s="15" t="s">
        <v>808</v>
      </c>
      <c r="C240" s="4">
        <f>D240+E240+F240+G240</f>
        <v>225</v>
      </c>
      <c r="D240" s="4">
        <v>0</v>
      </c>
      <c r="E240" s="4">
        <f>225</f>
        <v>225</v>
      </c>
      <c r="F240" s="4">
        <v>0</v>
      </c>
      <c r="G240" s="4"/>
    </row>
    <row r="241" spans="1:7" ht="15" customHeight="1">
      <c r="A241" s="14"/>
      <c r="B241" s="15" t="s">
        <v>214</v>
      </c>
      <c r="C241" s="4">
        <f>D241+E241+F241+G241</f>
        <v>225</v>
      </c>
      <c r="D241" s="4">
        <f>225</f>
        <v>225</v>
      </c>
      <c r="E241" s="4">
        <v>0</v>
      </c>
      <c r="F241" s="4">
        <v>0</v>
      </c>
      <c r="G241" s="4"/>
    </row>
    <row r="242" spans="1:7" ht="15" customHeight="1">
      <c r="A242" s="14"/>
      <c r="B242" s="15" t="s">
        <v>550</v>
      </c>
      <c r="C242" s="4">
        <f>D242+E242+F242+G242</f>
        <v>200</v>
      </c>
      <c r="D242" s="4">
        <f>200</f>
        <v>200</v>
      </c>
      <c r="E242" s="4">
        <v>0</v>
      </c>
      <c r="F242" s="4">
        <v>0</v>
      </c>
      <c r="G242" s="4"/>
    </row>
    <row r="243" spans="1:7" ht="15" customHeight="1">
      <c r="A243" s="14"/>
      <c r="B243" s="15" t="s">
        <v>843</v>
      </c>
      <c r="C243" s="4">
        <f>D243+E243+F243+G243</f>
        <v>200</v>
      </c>
      <c r="D243" s="4">
        <v>0</v>
      </c>
      <c r="E243" s="4">
        <v>0</v>
      </c>
      <c r="F243" s="4">
        <f>200</f>
        <v>200</v>
      </c>
      <c r="G243" s="4"/>
    </row>
    <row r="244" spans="1:7" ht="15" customHeight="1">
      <c r="A244" s="14"/>
      <c r="B244" s="15" t="s">
        <v>708</v>
      </c>
      <c r="C244" s="4">
        <f>D244+E244+F244+G244</f>
        <v>200</v>
      </c>
      <c r="D244" s="4">
        <f>200</f>
        <v>200</v>
      </c>
      <c r="E244" s="4">
        <v>0</v>
      </c>
      <c r="F244" s="4">
        <v>0</v>
      </c>
      <c r="G244" s="4"/>
    </row>
    <row r="245" spans="1:7" ht="15" customHeight="1">
      <c r="A245" s="14"/>
      <c r="B245" s="15" t="s">
        <v>847</v>
      </c>
      <c r="C245" s="4">
        <f>D245+E245+F245+G245</f>
        <v>200</v>
      </c>
      <c r="D245" s="4">
        <v>0</v>
      </c>
      <c r="E245" s="4">
        <v>0</v>
      </c>
      <c r="F245" s="4">
        <f>200</f>
        <v>200</v>
      </c>
      <c r="G245" s="4"/>
    </row>
    <row r="246" spans="1:7" ht="15" customHeight="1">
      <c r="A246" s="14"/>
      <c r="B246" s="15" t="s">
        <v>796</v>
      </c>
      <c r="C246" s="4">
        <f>D246+E246+F246+G246</f>
        <v>200</v>
      </c>
      <c r="D246" s="4">
        <v>0</v>
      </c>
      <c r="E246" s="4">
        <f>200</f>
        <v>200</v>
      </c>
      <c r="F246" s="4">
        <v>0</v>
      </c>
      <c r="G246" s="4"/>
    </row>
    <row r="247" spans="1:7" ht="15" customHeight="1">
      <c r="A247" s="14"/>
      <c r="B247" s="15" t="s">
        <v>825</v>
      </c>
      <c r="C247" s="4">
        <f>D247+E247+F247+G247</f>
        <v>200</v>
      </c>
      <c r="D247" s="4">
        <v>0</v>
      </c>
      <c r="E247" s="4">
        <f>200</f>
        <v>200</v>
      </c>
      <c r="F247" s="4">
        <v>0</v>
      </c>
      <c r="G247" s="4"/>
    </row>
    <row r="248" spans="1:7" ht="15" customHeight="1">
      <c r="A248" s="14"/>
      <c r="B248" s="15" t="s">
        <v>737</v>
      </c>
      <c r="C248" s="4">
        <f>D248+E248+F248+G248</f>
        <v>200</v>
      </c>
      <c r="D248" s="4">
        <f>200</f>
        <v>200</v>
      </c>
      <c r="E248" s="4">
        <v>0</v>
      </c>
      <c r="F248" s="4">
        <v>0</v>
      </c>
      <c r="G248" s="4"/>
    </row>
    <row r="249" spans="1:7" ht="15" customHeight="1">
      <c r="A249" s="14"/>
      <c r="B249" s="15" t="s">
        <v>743</v>
      </c>
      <c r="C249" s="4">
        <f>D249+E249+F249+G249</f>
        <v>200</v>
      </c>
      <c r="D249" s="4">
        <f>200</f>
        <v>200</v>
      </c>
      <c r="E249" s="4">
        <v>0</v>
      </c>
      <c r="F249" s="4">
        <v>0</v>
      </c>
      <c r="G249" s="4"/>
    </row>
    <row r="250" spans="1:7" ht="15" customHeight="1">
      <c r="A250" s="14"/>
      <c r="B250" s="15" t="s">
        <v>760</v>
      </c>
      <c r="C250" s="4">
        <f>D250+E250+F250+G250</f>
        <v>200</v>
      </c>
      <c r="D250" s="4">
        <f>200</f>
        <v>200</v>
      </c>
      <c r="E250" s="4">
        <v>0</v>
      </c>
      <c r="F250" s="4">
        <v>0</v>
      </c>
      <c r="G250" s="4"/>
    </row>
    <row r="251" spans="1:7" ht="15" customHeight="1">
      <c r="A251" s="14"/>
      <c r="B251" s="15" t="s">
        <v>683</v>
      </c>
      <c r="C251" s="4">
        <f>D251+E251+F251+G251</f>
        <v>175</v>
      </c>
      <c r="D251" s="4">
        <f>175</f>
        <v>175</v>
      </c>
      <c r="E251" s="4">
        <v>0</v>
      </c>
      <c r="F251" s="4">
        <v>0</v>
      </c>
      <c r="G251" s="4"/>
    </row>
    <row r="252" spans="1:7" ht="15" customHeight="1">
      <c r="A252" s="14"/>
      <c r="B252" s="15" t="s">
        <v>716</v>
      </c>
      <c r="C252" s="4">
        <f>D252+E252+F252+G252</f>
        <v>175</v>
      </c>
      <c r="D252" s="4">
        <f>175</f>
        <v>175</v>
      </c>
      <c r="E252" s="4">
        <v>0</v>
      </c>
      <c r="F252" s="4">
        <v>0</v>
      </c>
      <c r="G252" s="4"/>
    </row>
    <row r="253" spans="1:7" ht="15" customHeight="1">
      <c r="A253" s="14"/>
      <c r="B253" s="14" t="s">
        <v>730</v>
      </c>
      <c r="C253" s="4">
        <f>D253+E253+F253+G253</f>
        <v>175</v>
      </c>
      <c r="D253" s="4">
        <f>175</f>
        <v>175</v>
      </c>
      <c r="E253" s="4">
        <v>0</v>
      </c>
      <c r="F253" s="4">
        <v>0</v>
      </c>
      <c r="G253" s="4"/>
    </row>
    <row r="254" spans="1:7" ht="15" customHeight="1">
      <c r="A254" s="14"/>
      <c r="B254" s="14" t="s">
        <v>674</v>
      </c>
      <c r="C254" s="4">
        <f>D254+E254+F254+G254</f>
        <v>175</v>
      </c>
      <c r="D254" s="4">
        <f>175</f>
        <v>175</v>
      </c>
      <c r="E254" s="4">
        <v>0</v>
      </c>
      <c r="F254" s="4">
        <v>0</v>
      </c>
      <c r="G254" s="4"/>
    </row>
    <row r="255" spans="1:7" ht="15" customHeight="1">
      <c r="A255" s="14"/>
      <c r="B255" s="15" t="s">
        <v>645</v>
      </c>
      <c r="C255" s="4">
        <f>D255+E255+F255+G255</f>
        <v>175</v>
      </c>
      <c r="D255" s="4">
        <f>175</f>
        <v>175</v>
      </c>
      <c r="E255" s="4">
        <v>0</v>
      </c>
      <c r="F255" s="4">
        <v>0</v>
      </c>
      <c r="G255" s="4"/>
    </row>
    <row r="256" spans="1:7" ht="15" customHeight="1">
      <c r="A256" s="14"/>
      <c r="B256" s="15" t="s">
        <v>613</v>
      </c>
      <c r="C256" s="4">
        <f>D256+E256+F256+G256</f>
        <v>175</v>
      </c>
      <c r="D256" s="4">
        <f>175</f>
        <v>175</v>
      </c>
      <c r="E256" s="4">
        <v>0</v>
      </c>
      <c r="F256" s="4">
        <v>0</v>
      </c>
      <c r="G256" s="4"/>
    </row>
    <row r="257" spans="1:7" ht="15" customHeight="1">
      <c r="A257" s="14"/>
      <c r="B257" s="15" t="s">
        <v>519</v>
      </c>
      <c r="C257" s="4">
        <f>D257+E257+F257+G257</f>
        <v>175</v>
      </c>
      <c r="D257" s="4">
        <v>0</v>
      </c>
      <c r="E257" s="4">
        <f>175</f>
        <v>175</v>
      </c>
      <c r="F257" s="4">
        <v>0</v>
      </c>
      <c r="G257" s="4"/>
    </row>
    <row r="258" spans="1:7" ht="15" customHeight="1">
      <c r="A258" s="14"/>
      <c r="B258" s="15" t="s">
        <v>268</v>
      </c>
      <c r="C258" s="4">
        <f>D258+E258+F258+G258</f>
        <v>175</v>
      </c>
      <c r="D258" s="4">
        <v>0</v>
      </c>
      <c r="E258" s="4">
        <v>0</v>
      </c>
      <c r="F258" s="4">
        <f>175</f>
        <v>175</v>
      </c>
      <c r="G258" s="4"/>
    </row>
    <row r="259" spans="1:7" ht="15" customHeight="1">
      <c r="A259" s="14"/>
      <c r="B259" s="15" t="s">
        <v>840</v>
      </c>
      <c r="C259" s="4">
        <f>D259+E259+F259+G259</f>
        <v>160</v>
      </c>
      <c r="D259" s="4">
        <v>0</v>
      </c>
      <c r="E259" s="4">
        <v>0</v>
      </c>
      <c r="F259" s="4">
        <f>160</f>
        <v>160</v>
      </c>
      <c r="G259" s="4"/>
    </row>
    <row r="260" spans="1:7" ht="15" customHeight="1">
      <c r="A260" s="14"/>
      <c r="B260" s="15" t="s">
        <v>711</v>
      </c>
      <c r="C260" s="4">
        <f>D260+E260+F260+G260</f>
        <v>160</v>
      </c>
      <c r="D260" s="4">
        <f>160</f>
        <v>160</v>
      </c>
      <c r="E260" s="4">
        <v>0</v>
      </c>
      <c r="F260" s="4">
        <v>0</v>
      </c>
      <c r="G260" s="4"/>
    </row>
    <row r="261" spans="1:7" ht="15" customHeight="1">
      <c r="A261" s="14"/>
      <c r="B261" s="15" t="s">
        <v>744</v>
      </c>
      <c r="C261" s="4">
        <f>D261+E261+F261+G261</f>
        <v>160</v>
      </c>
      <c r="D261" s="4">
        <f>160</f>
        <v>160</v>
      </c>
      <c r="E261" s="4">
        <v>0</v>
      </c>
      <c r="F261" s="4">
        <v>0</v>
      </c>
      <c r="G261" s="4"/>
    </row>
    <row r="262" spans="1:7" ht="15" customHeight="1">
      <c r="A262" s="14"/>
      <c r="B262" s="15" t="s">
        <v>738</v>
      </c>
      <c r="C262" s="4">
        <f>D262+E262+F262+G262</f>
        <v>160</v>
      </c>
      <c r="D262" s="4">
        <f>160</f>
        <v>160</v>
      </c>
      <c r="E262" s="4">
        <v>0</v>
      </c>
      <c r="F262" s="4">
        <v>0</v>
      </c>
      <c r="G262" s="4"/>
    </row>
    <row r="263" spans="1:7" ht="15" customHeight="1">
      <c r="A263" s="14"/>
      <c r="B263" s="15" t="s">
        <v>765</v>
      </c>
      <c r="C263" s="4">
        <f>D263+E263+F263+G263</f>
        <v>160</v>
      </c>
      <c r="D263" s="4">
        <f>160</f>
        <v>160</v>
      </c>
      <c r="E263" s="4">
        <v>0</v>
      </c>
      <c r="F263" s="4">
        <v>0</v>
      </c>
      <c r="G263" s="4"/>
    </row>
    <row r="264" spans="1:7" ht="15" customHeight="1">
      <c r="A264" s="14"/>
      <c r="B264" s="15" t="s">
        <v>491</v>
      </c>
      <c r="C264" s="4">
        <f>D264+E264+F264+G264</f>
        <v>160</v>
      </c>
      <c r="D264" s="4">
        <f>160</f>
        <v>160</v>
      </c>
      <c r="E264" s="4">
        <v>0</v>
      </c>
      <c r="F264" s="4">
        <v>0</v>
      </c>
      <c r="G264" s="4"/>
    </row>
    <row r="265" spans="1:7" ht="15" customHeight="1">
      <c r="A265" s="14"/>
      <c r="B265" s="15" t="s">
        <v>747</v>
      </c>
      <c r="C265" s="4">
        <f>D265+E265+F265+G265</f>
        <v>160</v>
      </c>
      <c r="D265" s="4">
        <f>160</f>
        <v>160</v>
      </c>
      <c r="E265" s="4">
        <v>0</v>
      </c>
      <c r="F265" s="4">
        <v>0</v>
      </c>
      <c r="G265" s="4"/>
    </row>
    <row r="266" spans="1:7" ht="15" customHeight="1">
      <c r="A266" s="14"/>
      <c r="B266" s="15" t="s">
        <v>677</v>
      </c>
      <c r="C266" s="4">
        <f>D266+E266+F266+G266</f>
        <v>145</v>
      </c>
      <c r="D266" s="4">
        <f>145</f>
        <v>145</v>
      </c>
      <c r="E266" s="4">
        <v>0</v>
      </c>
      <c r="F266" s="4">
        <v>0</v>
      </c>
      <c r="G266" s="4"/>
    </row>
    <row r="267" spans="1:7" ht="15" customHeight="1">
      <c r="A267" s="14"/>
      <c r="B267" s="15" t="s">
        <v>772</v>
      </c>
      <c r="C267" s="4">
        <f>D267+E267+F267+G267</f>
        <v>145</v>
      </c>
      <c r="D267" s="4">
        <v>0</v>
      </c>
      <c r="E267" s="4">
        <f>145</f>
        <v>145</v>
      </c>
      <c r="F267" s="4">
        <v>0</v>
      </c>
      <c r="G267" s="4"/>
    </row>
    <row r="268" spans="1:7" ht="15" customHeight="1">
      <c r="A268" s="14"/>
      <c r="B268" s="15" t="s">
        <v>726</v>
      </c>
      <c r="C268" s="4">
        <f>D268+E268+F268+G268</f>
        <v>145</v>
      </c>
      <c r="D268" s="4">
        <f>145</f>
        <v>145</v>
      </c>
      <c r="E268" s="4">
        <v>0</v>
      </c>
      <c r="F268" s="4">
        <v>0</v>
      </c>
      <c r="G268" s="4"/>
    </row>
    <row r="269" spans="1:7" ht="15" customHeight="1">
      <c r="A269" s="14"/>
      <c r="B269" s="15" t="s">
        <v>278</v>
      </c>
      <c r="C269" s="4">
        <f>D269+E269+F269+G269</f>
        <v>145</v>
      </c>
      <c r="D269" s="4">
        <f>145</f>
        <v>145</v>
      </c>
      <c r="E269" s="4">
        <v>0</v>
      </c>
      <c r="F269" s="4">
        <v>0</v>
      </c>
      <c r="G269" s="4"/>
    </row>
    <row r="270" spans="1:7" ht="15" customHeight="1">
      <c r="A270" s="14"/>
      <c r="B270" s="15" t="s">
        <v>745</v>
      </c>
      <c r="C270" s="4">
        <f>D270+E270+F270+G270</f>
        <v>145</v>
      </c>
      <c r="D270" s="4">
        <f>145</f>
        <v>145</v>
      </c>
      <c r="E270" s="4">
        <v>0</v>
      </c>
      <c r="F270" s="4">
        <v>0</v>
      </c>
      <c r="G270" s="4"/>
    </row>
    <row r="271" spans="1:7" ht="15" customHeight="1">
      <c r="A271" s="14"/>
      <c r="B271" s="15" t="s">
        <v>83</v>
      </c>
      <c r="C271" s="4">
        <f>D271+E271+F271+G271</f>
        <v>145</v>
      </c>
      <c r="D271" s="4">
        <v>0</v>
      </c>
      <c r="E271" s="4">
        <f>145</f>
        <v>145</v>
      </c>
      <c r="F271" s="4">
        <v>0</v>
      </c>
      <c r="G271" s="4"/>
    </row>
    <row r="272" spans="1:7" ht="15" customHeight="1">
      <c r="A272" s="14"/>
      <c r="B272" s="15" t="s">
        <v>712</v>
      </c>
      <c r="C272" s="4">
        <f>D272+E272+F272+G272</f>
        <v>145</v>
      </c>
      <c r="D272" s="4">
        <f>145</f>
        <v>145</v>
      </c>
      <c r="E272" s="4">
        <v>0</v>
      </c>
      <c r="F272" s="4">
        <v>0</v>
      </c>
      <c r="G272" s="4"/>
    </row>
    <row r="273" spans="1:7" ht="15" customHeight="1">
      <c r="A273" s="14"/>
      <c r="B273" s="15" t="s">
        <v>832</v>
      </c>
      <c r="C273" s="4">
        <f>D273+E273+F273+G273</f>
        <v>145</v>
      </c>
      <c r="D273" s="4">
        <v>0</v>
      </c>
      <c r="E273" s="4">
        <v>0</v>
      </c>
      <c r="F273" s="4">
        <f>145</f>
        <v>145</v>
      </c>
      <c r="G273" s="4"/>
    </row>
    <row r="274" spans="1:7" ht="15" customHeight="1">
      <c r="A274" s="14"/>
      <c r="B274" s="15" t="s">
        <v>43</v>
      </c>
      <c r="C274" s="4">
        <f>D274+E274+F274+G274</f>
        <v>130</v>
      </c>
      <c r="D274" s="4">
        <f>130</f>
        <v>130</v>
      </c>
      <c r="E274" s="4">
        <v>0</v>
      </c>
      <c r="F274" s="4">
        <v>0</v>
      </c>
      <c r="G274" s="4"/>
    </row>
    <row r="275" spans="1:7" ht="15" customHeight="1">
      <c r="A275" s="14"/>
      <c r="B275" s="15" t="s">
        <v>713</v>
      </c>
      <c r="C275" s="4">
        <f>D275+E275+F275+G275</f>
        <v>130</v>
      </c>
      <c r="D275" s="4">
        <f>130</f>
        <v>130</v>
      </c>
      <c r="E275" s="4">
        <v>0</v>
      </c>
      <c r="F275" s="4">
        <v>0</v>
      </c>
      <c r="G275" s="4"/>
    </row>
    <row r="276" spans="1:7" ht="15" customHeight="1">
      <c r="A276" s="14"/>
      <c r="B276" s="15" t="s">
        <v>774</v>
      </c>
      <c r="C276" s="4">
        <f>D276+E276+F276+G276</f>
        <v>130</v>
      </c>
      <c r="D276" s="4">
        <v>0</v>
      </c>
      <c r="E276" s="4">
        <f>130</f>
        <v>130</v>
      </c>
      <c r="F276" s="4">
        <v>0</v>
      </c>
      <c r="G276" s="4"/>
    </row>
    <row r="277" spans="1:7" ht="15" customHeight="1">
      <c r="A277" s="14"/>
      <c r="B277" s="15" t="s">
        <v>841</v>
      </c>
      <c r="C277" s="4">
        <f>D277+E277+F277+G277</f>
        <v>130</v>
      </c>
      <c r="D277" s="4">
        <v>0</v>
      </c>
      <c r="E277" s="4">
        <v>0</v>
      </c>
      <c r="F277" s="4">
        <f>130</f>
        <v>130</v>
      </c>
      <c r="G277" s="4"/>
    </row>
    <row r="278" spans="1:7" ht="15" customHeight="1">
      <c r="A278" s="14"/>
      <c r="B278" s="15" t="s">
        <v>717</v>
      </c>
      <c r="C278" s="4">
        <f>D278+E278+F278+G278</f>
        <v>130</v>
      </c>
      <c r="D278" s="4">
        <f>130</f>
        <v>130</v>
      </c>
      <c r="E278" s="4">
        <v>0</v>
      </c>
      <c r="F278" s="4">
        <v>0</v>
      </c>
      <c r="G278" s="4"/>
    </row>
    <row r="279" spans="1:7" ht="15" customHeight="1">
      <c r="A279" s="14"/>
      <c r="B279" s="15" t="s">
        <v>709</v>
      </c>
      <c r="C279" s="4">
        <f>D279+E279+F279+G279</f>
        <v>130</v>
      </c>
      <c r="D279" s="4">
        <f>130</f>
        <v>130</v>
      </c>
      <c r="E279" s="4">
        <v>0</v>
      </c>
      <c r="F279" s="4">
        <v>0</v>
      </c>
      <c r="G279" s="4"/>
    </row>
    <row r="280" spans="1:7" ht="15" customHeight="1">
      <c r="A280" s="14"/>
      <c r="B280" s="15" t="s">
        <v>715</v>
      </c>
      <c r="C280" s="4">
        <f>D280+E280+F280+G280</f>
        <v>130</v>
      </c>
      <c r="D280" s="4">
        <f>130</f>
        <v>130</v>
      </c>
      <c r="E280" s="4">
        <v>0</v>
      </c>
      <c r="F280" s="4">
        <v>0</v>
      </c>
      <c r="G280" s="4"/>
    </row>
    <row r="281" spans="1:7" ht="15" customHeight="1">
      <c r="A281" s="14"/>
      <c r="B281" s="15" t="s">
        <v>746</v>
      </c>
      <c r="C281" s="4">
        <f>D281+E281+F281+G281</f>
        <v>130</v>
      </c>
      <c r="D281" s="4">
        <f>130</f>
        <v>130</v>
      </c>
      <c r="E281" s="4">
        <v>0</v>
      </c>
      <c r="F281" s="4">
        <v>0</v>
      </c>
      <c r="G281" s="4"/>
    </row>
    <row r="282" spans="1:7" ht="15" customHeight="1">
      <c r="A282" s="14"/>
      <c r="B282" s="15" t="s">
        <v>824</v>
      </c>
      <c r="C282" s="4">
        <f>D282+E282+F282+G282</f>
        <v>130</v>
      </c>
      <c r="D282" s="4">
        <v>0</v>
      </c>
      <c r="E282" s="4">
        <f>130</f>
        <v>130</v>
      </c>
      <c r="F282" s="4">
        <v>0</v>
      </c>
      <c r="G282" s="4"/>
    </row>
    <row r="283" spans="1:7" ht="15" customHeight="1">
      <c r="A283" s="14"/>
      <c r="B283" s="15" t="s">
        <v>831</v>
      </c>
      <c r="C283" s="4">
        <f>D283+E283+F283+G283</f>
        <v>130</v>
      </c>
      <c r="D283" s="4">
        <v>0</v>
      </c>
      <c r="E283" s="4">
        <v>0</v>
      </c>
      <c r="F283" s="4">
        <f>130</f>
        <v>130</v>
      </c>
      <c r="G283" s="4"/>
    </row>
    <row r="284" spans="1:7" ht="15" customHeight="1">
      <c r="A284" s="14"/>
      <c r="B284" s="14" t="s">
        <v>793</v>
      </c>
      <c r="C284" s="4">
        <f>D284+E284+F284+G284</f>
        <v>115</v>
      </c>
      <c r="D284" s="4">
        <v>0</v>
      </c>
      <c r="E284" s="4">
        <f>115</f>
        <v>115</v>
      </c>
      <c r="F284" s="4">
        <v>0</v>
      </c>
      <c r="G284" s="4"/>
    </row>
    <row r="285" spans="1:7" ht="15" customHeight="1">
      <c r="A285" s="14"/>
      <c r="B285" s="15" t="s">
        <v>835</v>
      </c>
      <c r="C285" s="4">
        <f>D285+E285+F285+G285</f>
        <v>115</v>
      </c>
      <c r="D285" s="4">
        <v>0</v>
      </c>
      <c r="E285" s="4">
        <v>0</v>
      </c>
      <c r="F285" s="4">
        <f>115</f>
        <v>115</v>
      </c>
      <c r="G285" s="4"/>
    </row>
    <row r="286" spans="1:7" ht="15" customHeight="1">
      <c r="A286" s="14"/>
      <c r="B286" s="15" t="s">
        <v>798</v>
      </c>
      <c r="C286" s="4">
        <f>D286+E286+F286+G286</f>
        <v>115</v>
      </c>
      <c r="D286" s="4">
        <v>0</v>
      </c>
      <c r="E286" s="4">
        <f>115</f>
        <v>115</v>
      </c>
      <c r="F286" s="4">
        <v>0</v>
      </c>
      <c r="G286" s="4"/>
    </row>
    <row r="287" spans="1:7" ht="15" customHeight="1">
      <c r="A287" s="14"/>
      <c r="B287" s="15" t="s">
        <v>751</v>
      </c>
      <c r="C287" s="4">
        <f>D287+E287+F287+G287</f>
        <v>115</v>
      </c>
      <c r="D287" s="4">
        <f>115</f>
        <v>115</v>
      </c>
      <c r="E287" s="4">
        <v>0</v>
      </c>
      <c r="F287" s="4">
        <v>0</v>
      </c>
      <c r="G287" s="4"/>
    </row>
    <row r="288" spans="1:7" ht="15" customHeight="1">
      <c r="A288" s="14"/>
      <c r="B288" s="15" t="s">
        <v>826</v>
      </c>
      <c r="C288" s="4">
        <f>D288+E288+F288+G288</f>
        <v>115</v>
      </c>
      <c r="D288" s="4">
        <v>0</v>
      </c>
      <c r="E288" s="4">
        <f>115</f>
        <v>115</v>
      </c>
      <c r="F288" s="4">
        <v>0</v>
      </c>
      <c r="G288" s="4"/>
    </row>
    <row r="289" spans="1:7" ht="15" customHeight="1">
      <c r="A289" s="14"/>
      <c r="B289" s="15" t="s">
        <v>785</v>
      </c>
      <c r="C289" s="4">
        <f>D289+E289+F289+G289</f>
        <v>115</v>
      </c>
      <c r="D289" s="4">
        <v>0</v>
      </c>
      <c r="E289" s="4">
        <f>115</f>
        <v>115</v>
      </c>
      <c r="F289" s="4">
        <v>0</v>
      </c>
      <c r="G289" s="4"/>
    </row>
    <row r="290" spans="1:7" ht="15" customHeight="1">
      <c r="A290" s="14"/>
      <c r="B290" s="15" t="s">
        <v>818</v>
      </c>
      <c r="C290" s="4">
        <f>D290+E290+F290+G290</f>
        <v>115</v>
      </c>
      <c r="D290" s="4">
        <v>0</v>
      </c>
      <c r="E290" s="4">
        <f>115</f>
        <v>115</v>
      </c>
      <c r="F290" s="4">
        <v>0</v>
      </c>
      <c r="G290" s="4"/>
    </row>
    <row r="291" spans="1:7" ht="15" customHeight="1">
      <c r="A291" s="14"/>
      <c r="B291" s="15" t="s">
        <v>833</v>
      </c>
      <c r="C291" s="4">
        <f>D291+E291+F291+G291</f>
        <v>115</v>
      </c>
      <c r="D291" s="4">
        <v>0</v>
      </c>
      <c r="E291" s="4">
        <v>0</v>
      </c>
      <c r="F291" s="4">
        <f>115</f>
        <v>115</v>
      </c>
      <c r="G291" s="4"/>
    </row>
    <row r="292" spans="1:7" ht="15" customHeight="1">
      <c r="A292" s="14"/>
      <c r="B292" s="15" t="s">
        <v>718</v>
      </c>
      <c r="C292" s="4">
        <f>D292+E292+F292+G292</f>
        <v>115</v>
      </c>
      <c r="D292" s="4">
        <f>115</f>
        <v>115</v>
      </c>
      <c r="E292" s="4">
        <v>0</v>
      </c>
      <c r="F292" s="4">
        <v>0</v>
      </c>
      <c r="G292" s="4"/>
    </row>
    <row r="293" spans="1:7" ht="15" customHeight="1">
      <c r="A293" s="14"/>
      <c r="B293" s="15" t="s">
        <v>773</v>
      </c>
      <c r="C293" s="4">
        <f>D293+E293+F293+G293</f>
        <v>115</v>
      </c>
      <c r="D293" s="4">
        <v>0</v>
      </c>
      <c r="E293" s="4">
        <f>115</f>
        <v>115</v>
      </c>
      <c r="F293" s="4">
        <v>0</v>
      </c>
      <c r="G293" s="4"/>
    </row>
    <row r="294" spans="1:7" ht="15" customHeight="1">
      <c r="A294" s="14"/>
      <c r="B294" s="15" t="s">
        <v>714</v>
      </c>
      <c r="C294" s="4">
        <f>D294+E294+F294+G294</f>
        <v>115</v>
      </c>
      <c r="D294" s="4">
        <f>115</f>
        <v>115</v>
      </c>
      <c r="E294" s="4">
        <v>0</v>
      </c>
      <c r="F294" s="4">
        <v>0</v>
      </c>
      <c r="G294" s="4"/>
    </row>
    <row r="295" spans="1:7" ht="15">
      <c r="A295" s="10"/>
      <c r="B295" s="8"/>
      <c r="C295" s="11"/>
      <c r="D295" s="11"/>
      <c r="E295" s="11"/>
      <c r="F295" s="11"/>
      <c r="G295" s="11"/>
    </row>
    <row r="296" spans="1:7" ht="18.75" customHeight="1">
      <c r="A296" s="30" t="s">
        <v>3</v>
      </c>
      <c r="B296" s="30"/>
      <c r="C296" s="30"/>
      <c r="D296" s="5"/>
      <c r="E296" s="5"/>
      <c r="F296" s="5"/>
      <c r="G296" s="5"/>
    </row>
    <row r="297" spans="1:7" ht="18.75" customHeight="1">
      <c r="A297" s="31" t="s">
        <v>4</v>
      </c>
      <c r="B297" s="32"/>
      <c r="C297" s="32"/>
      <c r="D297" s="6"/>
      <c r="E297" s="6"/>
      <c r="F297" s="6"/>
      <c r="G297" s="6"/>
    </row>
    <row r="298" spans="1:7" ht="18.75" customHeight="1">
      <c r="A298" s="33" t="s">
        <v>5</v>
      </c>
      <c r="B298" s="34"/>
      <c r="C298" s="34"/>
      <c r="D298" s="7"/>
      <c r="E298" s="7"/>
      <c r="F298" s="7"/>
      <c r="G298" s="7"/>
    </row>
    <row r="300" spans="1:7" ht="12.75">
      <c r="A300" s="9"/>
      <c r="B300" s="9"/>
      <c r="C300" s="9"/>
      <c r="D300" s="9"/>
      <c r="E300" s="9"/>
      <c r="F300" s="9"/>
      <c r="G300" s="9"/>
    </row>
    <row r="301" spans="1:7" ht="12.75">
      <c r="A301" s="9"/>
      <c r="B301" s="9"/>
      <c r="C301" s="9"/>
      <c r="D301" s="9"/>
      <c r="E301" s="9"/>
      <c r="F301" s="9"/>
      <c r="G301" s="9"/>
    </row>
    <row r="302" spans="1:7" ht="12.75">
      <c r="A302" s="9"/>
      <c r="B302" s="9"/>
      <c r="C302" s="9"/>
      <c r="D302" s="9"/>
      <c r="E302" s="9"/>
      <c r="F302" s="9"/>
      <c r="G302" s="9"/>
    </row>
    <row r="303" spans="1:7" ht="12.75">
      <c r="A303" s="9"/>
      <c r="B303" s="9"/>
      <c r="C303" s="9"/>
      <c r="D303" s="9"/>
      <c r="E303" s="9"/>
      <c r="F303" s="9"/>
      <c r="G303" s="9"/>
    </row>
    <row r="304" spans="1:7" ht="12.75">
      <c r="A304" s="9"/>
      <c r="B304" s="9"/>
      <c r="C304" s="9"/>
      <c r="D304" s="9"/>
      <c r="E304" s="9"/>
      <c r="F304" s="9"/>
      <c r="G304" s="9"/>
    </row>
    <row r="305" spans="1:7" ht="12.75">
      <c r="A305" s="9"/>
      <c r="B305" s="9"/>
      <c r="C305" s="9"/>
      <c r="D305" s="9"/>
      <c r="E305" s="9"/>
      <c r="F305" s="9"/>
      <c r="G305" s="9"/>
    </row>
    <row r="306" spans="1:7" ht="12.75">
      <c r="A306" s="9"/>
      <c r="B306" s="9"/>
      <c r="C306" s="9"/>
      <c r="D306" s="9"/>
      <c r="E306" s="9"/>
      <c r="F306" s="9"/>
      <c r="G306" s="9"/>
    </row>
    <row r="307" spans="1:7" ht="12.75">
      <c r="A307" s="9"/>
      <c r="B307" s="9"/>
      <c r="C307" s="9"/>
      <c r="D307" s="9"/>
      <c r="E307" s="9"/>
      <c r="F307" s="9"/>
      <c r="G307" s="9"/>
    </row>
    <row r="308" spans="1:7" ht="12.75">
      <c r="A308" s="9"/>
      <c r="B308" s="9"/>
      <c r="C308" s="9"/>
      <c r="D308" s="9"/>
      <c r="E308" s="9"/>
      <c r="F308" s="9"/>
      <c r="G308" s="9"/>
    </row>
    <row r="309" spans="1:7" ht="12.75">
      <c r="A309" s="9"/>
      <c r="B309" s="9"/>
      <c r="C309" s="9"/>
      <c r="D309" s="9"/>
      <c r="E309" s="9"/>
      <c r="F309" s="9"/>
      <c r="G309" s="9"/>
    </row>
    <row r="310" spans="1:7" ht="12.75">
      <c r="A310" s="9"/>
      <c r="B310" s="9"/>
      <c r="C310" s="9"/>
      <c r="D310" s="9"/>
      <c r="E310" s="9"/>
      <c r="F310" s="9"/>
      <c r="G310" s="9"/>
    </row>
    <row r="311" spans="1:7" ht="12.75">
      <c r="A311" s="9"/>
      <c r="B311" s="9"/>
      <c r="C311" s="9"/>
      <c r="D311" s="9"/>
      <c r="E311" s="9"/>
      <c r="F311" s="9"/>
      <c r="G311" s="9"/>
    </row>
    <row r="312" spans="1:7" ht="12.75">
      <c r="A312" s="9"/>
      <c r="B312" s="9"/>
      <c r="C312" s="9"/>
      <c r="D312" s="9"/>
      <c r="E312" s="9"/>
      <c r="F312" s="9"/>
      <c r="G312" s="9"/>
    </row>
    <row r="313" spans="1:7" ht="12.75">
      <c r="A313" s="9"/>
      <c r="B313" s="9"/>
      <c r="C313" s="9"/>
      <c r="D313" s="9"/>
      <c r="E313" s="9"/>
      <c r="F313" s="9"/>
      <c r="G313" s="9"/>
    </row>
    <row r="314" spans="1:7" ht="12.75">
      <c r="A314" s="9"/>
      <c r="B314" s="9"/>
      <c r="C314" s="9"/>
      <c r="D314" s="9"/>
      <c r="E314" s="9"/>
      <c r="F314" s="9"/>
      <c r="G314" s="9"/>
    </row>
    <row r="315" spans="1:7" ht="12.75">
      <c r="A315" s="9"/>
      <c r="B315" s="9"/>
      <c r="C315" s="9"/>
      <c r="D315" s="9"/>
      <c r="E315" s="9"/>
      <c r="F315" s="9"/>
      <c r="G315" s="9"/>
    </row>
    <row r="316" spans="1:7" ht="12.75">
      <c r="A316" s="9"/>
      <c r="B316" s="9"/>
      <c r="C316" s="9"/>
      <c r="D316" s="9"/>
      <c r="E316" s="9"/>
      <c r="F316" s="9"/>
      <c r="G316" s="9"/>
    </row>
    <row r="317" spans="1:7" ht="12.75">
      <c r="A317" s="9"/>
      <c r="B317" s="9"/>
      <c r="C317" s="9"/>
      <c r="D317" s="9"/>
      <c r="E317" s="9"/>
      <c r="F317" s="9"/>
      <c r="G317" s="9"/>
    </row>
    <row r="318" spans="1:7" ht="12.75">
      <c r="A318" s="9"/>
      <c r="B318" s="9"/>
      <c r="C318" s="9"/>
      <c r="D318" s="9"/>
      <c r="E318" s="9"/>
      <c r="F318" s="9"/>
      <c r="G318" s="9"/>
    </row>
  </sheetData>
  <sheetProtection/>
  <mergeCells count="9">
    <mergeCell ref="A296:C296"/>
    <mergeCell ref="A297:C297"/>
    <mergeCell ref="A298:C298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D149 E13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5"/>
      <c r="B1" s="35"/>
      <c r="C1" s="35"/>
      <c r="D1" s="35"/>
      <c r="E1" s="35"/>
      <c r="F1" s="35"/>
      <c r="G1" s="35"/>
    </row>
    <row r="2" spans="1:7" ht="45" customHeight="1">
      <c r="A2" s="36" t="s">
        <v>37</v>
      </c>
      <c r="B2" s="36"/>
      <c r="C2" s="36"/>
      <c r="D2" s="36"/>
      <c r="E2" s="36"/>
      <c r="F2" s="36"/>
      <c r="G2" s="36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7" t="s">
        <v>702</v>
      </c>
      <c r="B4" s="38"/>
      <c r="C4" s="38"/>
      <c r="D4" s="38"/>
      <c r="E4" s="38"/>
      <c r="F4" s="38"/>
      <c r="G4" s="38"/>
    </row>
    <row r="5" spans="1:7" ht="9.75" customHeight="1">
      <c r="A5" s="37"/>
      <c r="B5" s="38"/>
      <c r="C5" s="38"/>
      <c r="D5" s="38"/>
      <c r="E5" s="38"/>
      <c r="F5" s="38"/>
      <c r="G5" s="38"/>
    </row>
    <row r="6" spans="1:7" ht="30" customHeight="1">
      <c r="A6" s="39" t="s">
        <v>701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448</v>
      </c>
      <c r="E8" s="2" t="s">
        <v>449</v>
      </c>
      <c r="F8" s="2" t="s">
        <v>450</v>
      </c>
      <c r="G8" s="2" t="s">
        <v>451</v>
      </c>
      <c r="H8" s="3"/>
    </row>
    <row r="9" spans="1:7" ht="15" customHeight="1">
      <c r="A9" s="16">
        <v>1</v>
      </c>
      <c r="B9" s="17" t="s">
        <v>8</v>
      </c>
      <c r="C9" s="19">
        <f aca="true" t="shared" si="0" ref="C9:C72">D9+E9+F9+G9</f>
        <v>24920</v>
      </c>
      <c r="D9" s="18">
        <f>175+350+275+575+375+130+300+225+175+425+375+275+375+475+475+350</f>
        <v>5330</v>
      </c>
      <c r="E9" s="18">
        <f>475+145+300+425+325+475+575+575+575+145+200+275+225+575+425+575+350+350+475+300</f>
        <v>7765</v>
      </c>
      <c r="F9" s="18">
        <f>350+250+575+325+325+575+425+350+300+325+160+175+145+425+300+275+425</f>
        <v>5705</v>
      </c>
      <c r="G9" s="18">
        <f>225+200+250+325+225+325+375+130+350+300+425+250+350+475+375+475+115+575+375</f>
        <v>6120</v>
      </c>
    </row>
    <row r="10" spans="1:7" ht="15" customHeight="1">
      <c r="A10" s="16">
        <v>2</v>
      </c>
      <c r="B10" s="17" t="s">
        <v>15</v>
      </c>
      <c r="C10" s="19">
        <f t="shared" si="0"/>
        <v>15870</v>
      </c>
      <c r="D10" s="18">
        <f>275+200+350+375+145+275+475+375+250+250+575+250</f>
        <v>3795</v>
      </c>
      <c r="E10" s="18">
        <f>350+375+350+425+200+225+375+575+425+375</f>
        <v>3675</v>
      </c>
      <c r="F10" s="18">
        <f>300+375+425+475+250+275+325+475+225+475+375+375+575</f>
        <v>4925</v>
      </c>
      <c r="G10" s="18">
        <f>200+250+325+275+425+225+115+475+160+300+200+250+275</f>
        <v>3475</v>
      </c>
    </row>
    <row r="11" spans="1:7" ht="15" customHeight="1">
      <c r="A11" s="16">
        <v>3</v>
      </c>
      <c r="B11" s="17" t="s">
        <v>391</v>
      </c>
      <c r="C11" s="19">
        <f t="shared" si="0"/>
        <v>11170</v>
      </c>
      <c r="D11" s="18">
        <f>475+115+225+250+250+475+575+350+300+350+275+275</f>
        <v>3915</v>
      </c>
      <c r="E11" s="18">
        <f>575+475+275+425+425+250</f>
        <v>2425</v>
      </c>
      <c r="F11" s="18">
        <f>250+275+375+425</f>
        <v>1325</v>
      </c>
      <c r="G11" s="18">
        <f>475+130+250+475+425+575+325+375+475</f>
        <v>3505</v>
      </c>
    </row>
    <row r="12" spans="1:7" ht="15" customHeight="1">
      <c r="A12" s="16">
        <v>4</v>
      </c>
      <c r="B12" s="17" t="s">
        <v>269</v>
      </c>
      <c r="C12" s="19">
        <f t="shared" si="0"/>
        <v>10075</v>
      </c>
      <c r="D12" s="18">
        <f>300+425+575+475+250+275+200+225+175+350</f>
        <v>3250</v>
      </c>
      <c r="E12" s="18">
        <f>475+200+425+250+275</f>
        <v>1625</v>
      </c>
      <c r="F12" s="18">
        <f>225+175+160+300+225</f>
        <v>1085</v>
      </c>
      <c r="G12" s="18">
        <f>350+130+475+425+250+350+175+250+160+425+350+275+225+275</f>
        <v>4115</v>
      </c>
    </row>
    <row r="13" spans="1:7" ht="15" customHeight="1">
      <c r="A13" s="16">
        <v>5</v>
      </c>
      <c r="B13" s="17" t="s">
        <v>180</v>
      </c>
      <c r="C13" s="19">
        <f t="shared" si="0"/>
        <v>9795</v>
      </c>
      <c r="D13" s="18">
        <f>250+250+475+325+130+300+175+300+425+575+425</f>
        <v>3630</v>
      </c>
      <c r="E13" s="18">
        <f>300+375+175+250+130+200+375</f>
        <v>1805</v>
      </c>
      <c r="F13" s="18">
        <f>275+350+160+250+375+115</f>
        <v>1525</v>
      </c>
      <c r="G13" s="18">
        <f>425+425+200+275+350+375+250+375+160</f>
        <v>2835</v>
      </c>
    </row>
    <row r="14" spans="1:7" ht="15" customHeight="1">
      <c r="A14" s="16">
        <v>6</v>
      </c>
      <c r="B14" s="17" t="s">
        <v>35</v>
      </c>
      <c r="C14" s="19">
        <f t="shared" si="0"/>
        <v>9745</v>
      </c>
      <c r="D14" s="18">
        <f>250+325+300+225+475+575+425+575+200+225</f>
        <v>3575</v>
      </c>
      <c r="E14" s="18">
        <f>575+575+325+275+475+575+250+575+325</f>
        <v>3950</v>
      </c>
      <c r="F14" s="18">
        <f>475+175+575+145+575</f>
        <v>1945</v>
      </c>
      <c r="G14" s="18">
        <f>275</f>
        <v>275</v>
      </c>
    </row>
    <row r="15" spans="1:7" ht="15" customHeight="1">
      <c r="A15" s="16">
        <v>7</v>
      </c>
      <c r="B15" s="16" t="s">
        <v>56</v>
      </c>
      <c r="C15" s="19">
        <f t="shared" si="0"/>
        <v>9290</v>
      </c>
      <c r="D15" s="18">
        <f>175+575+250+300+350+375+575</f>
        <v>2600</v>
      </c>
      <c r="E15" s="18">
        <f>275+130+375+300+475+375</f>
        <v>1930</v>
      </c>
      <c r="F15" s="18">
        <f>160+575+425+225+275+375+200</f>
        <v>2235</v>
      </c>
      <c r="G15" s="18">
        <f>425+350+475+375+175+475+250</f>
        <v>2525</v>
      </c>
    </row>
    <row r="16" spans="1:7" ht="15" customHeight="1">
      <c r="A16" s="16">
        <v>8</v>
      </c>
      <c r="B16" s="17" t="s">
        <v>118</v>
      </c>
      <c r="C16" s="19">
        <f t="shared" si="0"/>
        <v>9150</v>
      </c>
      <c r="D16" s="18">
        <f>375+350+175+375+325+425</f>
        <v>2025</v>
      </c>
      <c r="E16" s="18">
        <f>250+575+250+575+200+575+375</f>
        <v>2800</v>
      </c>
      <c r="F16" s="18">
        <f>475+325+575+575</f>
        <v>1950</v>
      </c>
      <c r="G16" s="18">
        <f>375+575+425+575+425</f>
        <v>2375</v>
      </c>
    </row>
    <row r="17" spans="1:7" ht="15" customHeight="1">
      <c r="A17" s="16">
        <v>9</v>
      </c>
      <c r="B17" s="17" t="s">
        <v>31</v>
      </c>
      <c r="C17" s="19">
        <f t="shared" si="0"/>
        <v>9115</v>
      </c>
      <c r="D17" s="18">
        <f>425+130+425+350+250+300+115</f>
        <v>1995</v>
      </c>
      <c r="E17" s="18">
        <f>575+425+475+300+325+300</f>
        <v>2400</v>
      </c>
      <c r="F17" s="18">
        <f>160+175+475+575+475</f>
        <v>1860</v>
      </c>
      <c r="G17" s="18">
        <f>300+275+145+160+375+325+475+250+425+130</f>
        <v>2860</v>
      </c>
    </row>
    <row r="18" spans="1:7" ht="15" customHeight="1">
      <c r="A18" s="16">
        <v>10</v>
      </c>
      <c r="B18" s="17" t="s">
        <v>189</v>
      </c>
      <c r="C18" s="19">
        <f t="shared" si="0"/>
        <v>8875</v>
      </c>
      <c r="D18" s="18">
        <f>130</f>
        <v>130</v>
      </c>
      <c r="E18" s="18">
        <f>250+575+575+200+425+575</f>
        <v>2600</v>
      </c>
      <c r="F18" s="18">
        <f>250+145+575+375+200+425+200+425+350+575</f>
        <v>3520</v>
      </c>
      <c r="G18" s="18">
        <f>250+350+350+350+225+425+225+275+175</f>
        <v>2625</v>
      </c>
    </row>
    <row r="19" spans="1:7" ht="15" customHeight="1">
      <c r="A19" s="16">
        <v>11</v>
      </c>
      <c r="B19" s="17" t="s">
        <v>96</v>
      </c>
      <c r="C19" s="18">
        <f t="shared" si="0"/>
        <v>8735</v>
      </c>
      <c r="D19" s="18">
        <f>300+375+225+130+300+160+130+250+275+475</f>
        <v>2620</v>
      </c>
      <c r="E19" s="18">
        <f>325+275+200</f>
        <v>800</v>
      </c>
      <c r="F19" s="18">
        <f>325+575+145+425+325+275+350+175</f>
        <v>2595</v>
      </c>
      <c r="G19" s="18">
        <f>425+425+475+300+325+145+200+425</f>
        <v>2720</v>
      </c>
    </row>
    <row r="20" spans="1:7" ht="15" customHeight="1">
      <c r="A20" s="16">
        <v>12</v>
      </c>
      <c r="B20" s="17" t="s">
        <v>32</v>
      </c>
      <c r="C20" s="18">
        <f t="shared" si="0"/>
        <v>8635</v>
      </c>
      <c r="D20" s="18">
        <f>575+375+575+475+160+475+275</f>
        <v>2910</v>
      </c>
      <c r="E20" s="18">
        <v>0</v>
      </c>
      <c r="F20" s="18">
        <f>275+575+375+375+300+575+425+475</f>
        <v>3375</v>
      </c>
      <c r="G20" s="18">
        <f>350+475+575+375+575</f>
        <v>2350</v>
      </c>
    </row>
    <row r="21" spans="1:7" ht="15" customHeight="1">
      <c r="A21" s="16">
        <v>13</v>
      </c>
      <c r="B21" s="17" t="s">
        <v>344</v>
      </c>
      <c r="C21" s="18">
        <f t="shared" si="0"/>
        <v>8620</v>
      </c>
      <c r="D21" s="18">
        <f>175+200+575+300</f>
        <v>1250</v>
      </c>
      <c r="E21" s="18">
        <f>160+250+475+425+475+325+575+130+300</f>
        <v>3115</v>
      </c>
      <c r="F21" s="18">
        <f>175+350+145+175+115+200+575+225+130+145</f>
        <v>2235</v>
      </c>
      <c r="G21" s="18">
        <f>115+250+375+250+225+130+200+475</f>
        <v>2020</v>
      </c>
    </row>
    <row r="22" spans="1:7" ht="15" customHeight="1">
      <c r="A22" s="16">
        <v>14</v>
      </c>
      <c r="B22" s="17" t="s">
        <v>24</v>
      </c>
      <c r="C22" s="18">
        <f t="shared" si="0"/>
        <v>8545</v>
      </c>
      <c r="D22" s="18">
        <f>575+375+425+325+575+325+475</f>
        <v>3075</v>
      </c>
      <c r="E22" s="18">
        <f>575+350+475</f>
        <v>1400</v>
      </c>
      <c r="F22" s="18">
        <f>145+475+475+575+130+300+175</f>
        <v>2275</v>
      </c>
      <c r="G22" s="18">
        <f>300+375+160+475+325+160</f>
        <v>1795</v>
      </c>
    </row>
    <row r="23" spans="1:7" ht="15" customHeight="1">
      <c r="A23" s="16">
        <v>15</v>
      </c>
      <c r="B23" s="17" t="s">
        <v>59</v>
      </c>
      <c r="C23" s="18">
        <f t="shared" si="0"/>
        <v>8240</v>
      </c>
      <c r="D23" s="18">
        <f>350+300+275+325+160+475+575</f>
        <v>2460</v>
      </c>
      <c r="E23" s="18">
        <f>225+375+350+325+350+130+225</f>
        <v>1980</v>
      </c>
      <c r="F23" s="18">
        <f>575+350+300+225+145+250+200</f>
        <v>2045</v>
      </c>
      <c r="G23" s="18">
        <f>350+250+425+160+145+425</f>
        <v>1755</v>
      </c>
    </row>
    <row r="24" spans="1:7" ht="15" customHeight="1">
      <c r="A24" s="16">
        <v>16</v>
      </c>
      <c r="B24" s="17" t="s">
        <v>42</v>
      </c>
      <c r="C24" s="18">
        <f t="shared" si="0"/>
        <v>8000</v>
      </c>
      <c r="D24" s="18">
        <f>160+425+350+115+350+160+145+160+175</f>
        <v>2040</v>
      </c>
      <c r="E24" s="18">
        <f>325+300+475+375+375</f>
        <v>1850</v>
      </c>
      <c r="F24" s="18">
        <f>275+475+325+225+375</f>
        <v>1675</v>
      </c>
      <c r="G24" s="18">
        <f>375+375+175+145+375+300+115+325+250</f>
        <v>2435</v>
      </c>
    </row>
    <row r="25" spans="1:7" ht="15" customHeight="1">
      <c r="A25" s="16">
        <v>17</v>
      </c>
      <c r="B25" s="16" t="s">
        <v>26</v>
      </c>
      <c r="C25" s="18">
        <f t="shared" si="0"/>
        <v>7760</v>
      </c>
      <c r="D25" s="18">
        <f>575+425+475+145+300+375</f>
        <v>2295</v>
      </c>
      <c r="E25" s="18">
        <f>130+425+425+175+375</f>
        <v>1530</v>
      </c>
      <c r="F25" s="18">
        <f>375+350+250+115+250+575+250</f>
        <v>2165</v>
      </c>
      <c r="G25" s="18">
        <f>200+115+275+475+575+130</f>
        <v>1770</v>
      </c>
    </row>
    <row r="26" spans="1:7" ht="15" customHeight="1">
      <c r="A26" s="16">
        <v>18</v>
      </c>
      <c r="B26" s="17" t="s">
        <v>469</v>
      </c>
      <c r="C26" s="18">
        <f t="shared" si="0"/>
        <v>7340</v>
      </c>
      <c r="D26" s="18">
        <f>200</f>
        <v>200</v>
      </c>
      <c r="E26" s="18">
        <f>175+475+475+250+225+115</f>
        <v>1715</v>
      </c>
      <c r="F26" s="18">
        <f>225+160+375+275+350+275+145+200+275</f>
        <v>2280</v>
      </c>
      <c r="G26" s="18">
        <f>300+225+300+115+300+250+325+275+325+130+425+175</f>
        <v>3145</v>
      </c>
    </row>
    <row r="27" spans="1:7" ht="15" customHeight="1">
      <c r="A27" s="16">
        <v>19</v>
      </c>
      <c r="B27" s="17" t="s">
        <v>193</v>
      </c>
      <c r="C27" s="18">
        <f t="shared" si="0"/>
        <v>7210</v>
      </c>
      <c r="D27" s="18">
        <f>375+115+145+275+350+115+575+300+130+160</f>
        <v>2540</v>
      </c>
      <c r="E27" s="18">
        <f>200+350+350+325</f>
        <v>1225</v>
      </c>
      <c r="F27" s="18">
        <f>350+200+275+225+250+375+275+130</f>
        <v>2080</v>
      </c>
      <c r="G27" s="18">
        <f>115+275+225+475+275</f>
        <v>1365</v>
      </c>
    </row>
    <row r="28" spans="1:7" ht="15" customHeight="1">
      <c r="A28" s="16">
        <v>20</v>
      </c>
      <c r="B28" s="17" t="s">
        <v>259</v>
      </c>
      <c r="C28" s="18">
        <f t="shared" si="0"/>
        <v>7115</v>
      </c>
      <c r="D28" s="18">
        <f>575+575+225+425+225+115+375+425+225+575+200</f>
        <v>3940</v>
      </c>
      <c r="E28" s="18">
        <f>225+375+300+375+375+575</f>
        <v>2225</v>
      </c>
      <c r="F28" s="18">
        <f>475</f>
        <v>475</v>
      </c>
      <c r="G28" s="18">
        <f>475</f>
        <v>475</v>
      </c>
    </row>
    <row r="29" spans="1:7" ht="15" customHeight="1">
      <c r="A29" s="16">
        <v>21</v>
      </c>
      <c r="B29" s="17" t="s">
        <v>10</v>
      </c>
      <c r="C29" s="18">
        <f t="shared" si="0"/>
        <v>7065</v>
      </c>
      <c r="D29" s="18">
        <f>475+575+350+425+200+425+225+130</f>
        <v>2805</v>
      </c>
      <c r="E29" s="18">
        <f>325+300+425</f>
        <v>1050</v>
      </c>
      <c r="F29" s="18">
        <f>300+475+115+350+275+175+425</f>
        <v>2115</v>
      </c>
      <c r="G29" s="18">
        <f>575+175+200+145</f>
        <v>1095</v>
      </c>
    </row>
    <row r="30" spans="1:7" ht="15" customHeight="1">
      <c r="A30" s="16">
        <v>22</v>
      </c>
      <c r="B30" s="17" t="s">
        <v>7</v>
      </c>
      <c r="C30" s="18">
        <f t="shared" si="0"/>
        <v>6945</v>
      </c>
      <c r="D30" s="18">
        <f>350+325</f>
        <v>675</v>
      </c>
      <c r="E30" s="18">
        <f>475+575+575+145+350+350+275</f>
        <v>2745</v>
      </c>
      <c r="F30" s="18">
        <f>425+250+475+250+275</f>
        <v>1675</v>
      </c>
      <c r="G30" s="18">
        <f>325+275+325+575+350</f>
        <v>1850</v>
      </c>
    </row>
    <row r="31" spans="1:7" ht="15" customHeight="1">
      <c r="A31" s="16">
        <v>23</v>
      </c>
      <c r="B31" s="17" t="s">
        <v>245</v>
      </c>
      <c r="C31" s="18">
        <f t="shared" si="0"/>
        <v>6540</v>
      </c>
      <c r="D31" s="18">
        <f>225+115+350+425+250+325</f>
        <v>1690</v>
      </c>
      <c r="E31" s="18">
        <f>375+425+575+475</f>
        <v>1850</v>
      </c>
      <c r="F31" s="18">
        <f>425+575+250</f>
        <v>1250</v>
      </c>
      <c r="G31" s="18">
        <f>375+425+575+375</f>
        <v>1750</v>
      </c>
    </row>
    <row r="32" spans="1:7" ht="15" customHeight="1">
      <c r="A32" s="16">
        <v>24</v>
      </c>
      <c r="B32" s="17" t="s">
        <v>398</v>
      </c>
      <c r="C32" s="18">
        <f t="shared" si="0"/>
        <v>6260</v>
      </c>
      <c r="D32" s="18">
        <f>275+250+425+475+475</f>
        <v>1900</v>
      </c>
      <c r="E32" s="18">
        <f>325+575+325</f>
        <v>1225</v>
      </c>
      <c r="F32" s="18">
        <v>0</v>
      </c>
      <c r="G32" s="18">
        <f>175+575+325+160+275+175+575+325+145+275+130</f>
        <v>3135</v>
      </c>
    </row>
    <row r="33" spans="1:7" ht="15" customHeight="1">
      <c r="A33" s="16">
        <v>25</v>
      </c>
      <c r="B33" s="17" t="s">
        <v>457</v>
      </c>
      <c r="C33" s="18">
        <f t="shared" si="0"/>
        <v>6250</v>
      </c>
      <c r="D33" s="18">
        <f>425+425+160+475+425</f>
        <v>1910</v>
      </c>
      <c r="E33" s="18">
        <f>300+325</f>
        <v>625</v>
      </c>
      <c r="F33" s="18">
        <f>200+250+425+350+300+160+475+575</f>
        <v>2735</v>
      </c>
      <c r="G33" s="18">
        <f>130+325+325+200</f>
        <v>980</v>
      </c>
    </row>
    <row r="34" spans="1:7" ht="15" customHeight="1">
      <c r="A34" s="16">
        <v>26</v>
      </c>
      <c r="B34" s="17" t="s">
        <v>70</v>
      </c>
      <c r="C34" s="18">
        <f t="shared" si="0"/>
        <v>6020</v>
      </c>
      <c r="D34" s="18">
        <f>225+175+350+275+300+225+475</f>
        <v>2025</v>
      </c>
      <c r="E34" s="18">
        <f>275+200+250+425+300+160</f>
        <v>1610</v>
      </c>
      <c r="F34" s="18">
        <f>325+325+300+325</f>
        <v>1275</v>
      </c>
      <c r="G34" s="18">
        <f>275+375+160+300</f>
        <v>1110</v>
      </c>
    </row>
    <row r="35" spans="1:7" ht="15" customHeight="1">
      <c r="A35" s="16">
        <v>27</v>
      </c>
      <c r="B35" s="17" t="s">
        <v>97</v>
      </c>
      <c r="C35" s="18">
        <f t="shared" si="0"/>
        <v>5975</v>
      </c>
      <c r="D35" s="18">
        <f>145+200+475+175+575+160+160+225+225+575+350</f>
        <v>3265</v>
      </c>
      <c r="E35" s="18">
        <f>325+160+425+250+275</f>
        <v>1435</v>
      </c>
      <c r="F35" s="18">
        <f>375</f>
        <v>375</v>
      </c>
      <c r="G35" s="18">
        <f>475+425</f>
        <v>900</v>
      </c>
    </row>
    <row r="36" spans="1:7" ht="15" customHeight="1">
      <c r="A36" s="16">
        <v>28</v>
      </c>
      <c r="B36" s="17" t="s">
        <v>452</v>
      </c>
      <c r="C36" s="18">
        <f t="shared" si="0"/>
        <v>5850</v>
      </c>
      <c r="D36" s="18">
        <f>115+175+250+275+325+475</f>
        <v>1615</v>
      </c>
      <c r="E36" s="18">
        <f>275+225+375+375+575+175</f>
        <v>2000</v>
      </c>
      <c r="F36" s="18">
        <f>250+575+350+325+575</f>
        <v>2075</v>
      </c>
      <c r="G36" s="18">
        <f>160</f>
        <v>160</v>
      </c>
    </row>
    <row r="37" spans="1:7" ht="15" customHeight="1">
      <c r="A37" s="16">
        <v>29</v>
      </c>
      <c r="B37" s="17" t="s">
        <v>67</v>
      </c>
      <c r="C37" s="18">
        <f t="shared" si="0"/>
        <v>5745</v>
      </c>
      <c r="D37" s="18">
        <f>300+145+375</f>
        <v>820</v>
      </c>
      <c r="E37" s="18">
        <f>325+300+375+225+425</f>
        <v>1650</v>
      </c>
      <c r="F37" s="18">
        <f>475+575+575+375+375</f>
        <v>2375</v>
      </c>
      <c r="G37" s="18">
        <f>475+425</f>
        <v>900</v>
      </c>
    </row>
    <row r="38" spans="1:7" ht="15" customHeight="1">
      <c r="A38" s="16">
        <v>30</v>
      </c>
      <c r="B38" s="17" t="s">
        <v>22</v>
      </c>
      <c r="C38" s="18">
        <f t="shared" si="0"/>
        <v>5635</v>
      </c>
      <c r="D38" s="18">
        <f>375</f>
        <v>375</v>
      </c>
      <c r="E38" s="18">
        <f>375</f>
        <v>375</v>
      </c>
      <c r="F38" s="18">
        <f>275+475+115+200+475+350</f>
        <v>1890</v>
      </c>
      <c r="G38" s="18">
        <f>175+115+350+130+225+425+325+575+175+300+200</f>
        <v>2995</v>
      </c>
    </row>
    <row r="39" spans="1:7" ht="15" customHeight="1">
      <c r="A39" s="16">
        <v>31</v>
      </c>
      <c r="B39" s="17" t="s">
        <v>125</v>
      </c>
      <c r="C39" s="18">
        <f t="shared" si="0"/>
        <v>5450</v>
      </c>
      <c r="D39" s="18">
        <f>325+225+350+425+375+325+350</f>
        <v>2375</v>
      </c>
      <c r="E39" s="18">
        <f>275+350+175</f>
        <v>800</v>
      </c>
      <c r="F39" s="18">
        <f>475+175+200+425</f>
        <v>1275</v>
      </c>
      <c r="G39" s="18">
        <f>425+575</f>
        <v>1000</v>
      </c>
    </row>
    <row r="40" spans="1:7" ht="15" customHeight="1">
      <c r="A40" s="16">
        <v>32</v>
      </c>
      <c r="B40" s="17" t="s">
        <v>143</v>
      </c>
      <c r="C40" s="18">
        <f t="shared" si="0"/>
        <v>5345</v>
      </c>
      <c r="D40" s="18">
        <f>200+575+225+175</f>
        <v>1175</v>
      </c>
      <c r="E40" s="18">
        <f>325+475</f>
        <v>800</v>
      </c>
      <c r="F40" s="18">
        <f>425+350+475+475</f>
        <v>1725</v>
      </c>
      <c r="G40" s="18">
        <f>225+145+175+275+300+250+275</f>
        <v>1645</v>
      </c>
    </row>
    <row r="41" spans="1:7" ht="15" customHeight="1">
      <c r="A41" s="20">
        <v>33</v>
      </c>
      <c r="B41" s="21" t="s">
        <v>61</v>
      </c>
      <c r="C41" s="22">
        <f t="shared" si="0"/>
        <v>5305</v>
      </c>
      <c r="D41" s="22">
        <f>325+375+145+225</f>
        <v>1070</v>
      </c>
      <c r="E41" s="22">
        <f>130+275+300+575+275</f>
        <v>1555</v>
      </c>
      <c r="F41" s="22">
        <f>175+225+575+575</f>
        <v>1550</v>
      </c>
      <c r="G41" s="22">
        <f>275+145+160+350+200</f>
        <v>1130</v>
      </c>
    </row>
    <row r="42" spans="1:7" ht="15" customHeight="1">
      <c r="A42" s="20">
        <v>34</v>
      </c>
      <c r="B42" s="21" t="s">
        <v>27</v>
      </c>
      <c r="C42" s="22">
        <f t="shared" si="0"/>
        <v>5125</v>
      </c>
      <c r="D42" s="22">
        <f>325+275+375+425+425</f>
        <v>1825</v>
      </c>
      <c r="E42" s="29">
        <f>225+350+175+275+275+425+425</f>
        <v>2150</v>
      </c>
      <c r="F42" s="22">
        <f>275</f>
        <v>275</v>
      </c>
      <c r="G42" s="22">
        <f>325+225+325</f>
        <v>875</v>
      </c>
    </row>
    <row r="43" spans="1:7" ht="15" customHeight="1">
      <c r="A43" s="20">
        <v>35</v>
      </c>
      <c r="B43" s="21" t="s">
        <v>25</v>
      </c>
      <c r="C43" s="22">
        <f t="shared" si="0"/>
        <v>5025</v>
      </c>
      <c r="D43" s="22">
        <f>300+475+325+175+275</f>
        <v>1550</v>
      </c>
      <c r="E43" s="22">
        <f>375</f>
        <v>375</v>
      </c>
      <c r="F43" s="22">
        <f>475+115+375</f>
        <v>965</v>
      </c>
      <c r="G43" s="22">
        <f>350+475+160+575+250+325</f>
        <v>2135</v>
      </c>
    </row>
    <row r="44" spans="1:7" ht="15" customHeight="1">
      <c r="A44" s="20">
        <v>36</v>
      </c>
      <c r="B44" s="21" t="s">
        <v>346</v>
      </c>
      <c r="C44" s="22">
        <f t="shared" si="0"/>
        <v>4680</v>
      </c>
      <c r="D44" s="22">
        <f>575+200+375+375</f>
        <v>1525</v>
      </c>
      <c r="E44" s="22">
        <f>375+475+375+250</f>
        <v>1475</v>
      </c>
      <c r="F44" s="22">
        <f>175+130</f>
        <v>305</v>
      </c>
      <c r="G44" s="22">
        <f>325+115+425+160+350</f>
        <v>1375</v>
      </c>
    </row>
    <row r="45" spans="1:7" ht="15" customHeight="1">
      <c r="A45" s="20">
        <v>37</v>
      </c>
      <c r="B45" s="21" t="s">
        <v>58</v>
      </c>
      <c r="C45" s="22">
        <f t="shared" si="0"/>
        <v>4635</v>
      </c>
      <c r="D45" s="22">
        <f>275+300+160+250+275</f>
        <v>1260</v>
      </c>
      <c r="E45" s="22">
        <f>225</f>
        <v>225</v>
      </c>
      <c r="F45" s="22">
        <f>275+225+325</f>
        <v>825</v>
      </c>
      <c r="G45" s="22">
        <f>300+325+300+250+275+375+250+250</f>
        <v>2325</v>
      </c>
    </row>
    <row r="46" spans="1:7" ht="15" customHeight="1">
      <c r="A46" s="20">
        <v>38</v>
      </c>
      <c r="B46" s="21" t="s">
        <v>49</v>
      </c>
      <c r="C46" s="22">
        <f t="shared" si="0"/>
        <v>4480</v>
      </c>
      <c r="D46" s="22">
        <f>350+575</f>
        <v>925</v>
      </c>
      <c r="E46" s="22">
        <f>225+575+250+275+145</f>
        <v>1470</v>
      </c>
      <c r="F46" s="22">
        <f>475</f>
        <v>475</v>
      </c>
      <c r="G46" s="22">
        <f>225+200+350+475+200+160</f>
        <v>1610</v>
      </c>
    </row>
    <row r="47" spans="1:7" ht="15" customHeight="1">
      <c r="A47" s="20">
        <v>39</v>
      </c>
      <c r="B47" s="21" t="s">
        <v>531</v>
      </c>
      <c r="C47" s="22">
        <f t="shared" si="0"/>
        <v>4415</v>
      </c>
      <c r="D47" s="22">
        <v>0</v>
      </c>
      <c r="E47" s="22">
        <f>115+300+350</f>
        <v>765</v>
      </c>
      <c r="F47" s="22">
        <f>425+425+375</f>
        <v>1225</v>
      </c>
      <c r="G47" s="22">
        <f>575+475+425+575+375</f>
        <v>2425</v>
      </c>
    </row>
    <row r="48" spans="1:7" ht="15" customHeight="1">
      <c r="A48" s="20">
        <v>40</v>
      </c>
      <c r="B48" s="21" t="s">
        <v>129</v>
      </c>
      <c r="C48" s="22">
        <f t="shared" si="0"/>
        <v>4265</v>
      </c>
      <c r="D48" s="22">
        <v>0</v>
      </c>
      <c r="E48" s="22">
        <f>175</f>
        <v>175</v>
      </c>
      <c r="F48" s="22">
        <f>200+145+130+145+160+225+130+175</f>
        <v>1310</v>
      </c>
      <c r="G48" s="22">
        <f>325+225+350+575+200+175+575+130+225</f>
        <v>2780</v>
      </c>
    </row>
    <row r="49" spans="1:7" ht="15" customHeight="1">
      <c r="A49" s="20">
        <v>41</v>
      </c>
      <c r="B49" s="21" t="s">
        <v>394</v>
      </c>
      <c r="C49" s="22">
        <f t="shared" si="0"/>
        <v>4025</v>
      </c>
      <c r="D49" s="22">
        <f>300+175+275+130+375</f>
        <v>1255</v>
      </c>
      <c r="E49" s="22">
        <v>0</v>
      </c>
      <c r="F49" s="22">
        <v>0</v>
      </c>
      <c r="G49" s="22">
        <f>575+225+425+300+145+375+425+300</f>
        <v>2770</v>
      </c>
    </row>
    <row r="50" spans="1:7" ht="15" customHeight="1">
      <c r="A50" s="20">
        <v>42</v>
      </c>
      <c r="B50" s="21" t="s">
        <v>584</v>
      </c>
      <c r="C50" s="22">
        <f t="shared" si="0"/>
        <v>3980</v>
      </c>
      <c r="D50" s="22">
        <v>0</v>
      </c>
      <c r="E50" s="22">
        <v>0</v>
      </c>
      <c r="F50" s="22">
        <f>130+375</f>
        <v>505</v>
      </c>
      <c r="G50" s="22">
        <f>275+200+300+225+575+300+375+375+375+475</f>
        <v>3475</v>
      </c>
    </row>
    <row r="51" spans="1:7" ht="15" customHeight="1">
      <c r="A51" s="14"/>
      <c r="B51" s="15" t="s">
        <v>126</v>
      </c>
      <c r="C51" s="4">
        <f t="shared" si="0"/>
        <v>3675</v>
      </c>
      <c r="D51" s="4">
        <f>375+325+425</f>
        <v>1125</v>
      </c>
      <c r="E51" s="4">
        <f>375</f>
        <v>375</v>
      </c>
      <c r="F51" s="4">
        <f>350+425</f>
        <v>775</v>
      </c>
      <c r="G51" s="4">
        <f>350+475+575</f>
        <v>1400</v>
      </c>
    </row>
    <row r="52" spans="1:7" ht="15" customHeight="1">
      <c r="A52" s="14"/>
      <c r="B52" s="15" t="s">
        <v>498</v>
      </c>
      <c r="C52" s="4">
        <f t="shared" si="0"/>
        <v>3650</v>
      </c>
      <c r="D52" s="4">
        <f>375</f>
        <v>375</v>
      </c>
      <c r="E52" s="4">
        <f>200+225+160+475+350+200</f>
        <v>1610</v>
      </c>
      <c r="F52" s="4">
        <f>115+225</f>
        <v>340</v>
      </c>
      <c r="G52" s="4">
        <f>175+575+575</f>
        <v>1325</v>
      </c>
    </row>
    <row r="53" spans="1:7" ht="15" customHeight="1">
      <c r="A53" s="14"/>
      <c r="B53" s="15" t="s">
        <v>323</v>
      </c>
      <c r="C53" s="4">
        <f t="shared" si="0"/>
        <v>3595</v>
      </c>
      <c r="D53" s="4">
        <f>375+225</f>
        <v>600</v>
      </c>
      <c r="E53" s="4">
        <f>425+145+250+325+425+375+475</f>
        <v>2420</v>
      </c>
      <c r="F53" s="4">
        <f>575</f>
        <v>575</v>
      </c>
      <c r="G53" s="4">
        <v>0</v>
      </c>
    </row>
    <row r="54" spans="1:7" ht="15" customHeight="1">
      <c r="A54" s="14"/>
      <c r="B54" s="15" t="s">
        <v>36</v>
      </c>
      <c r="C54" s="4">
        <f t="shared" si="0"/>
        <v>3590</v>
      </c>
      <c r="D54" s="4">
        <f>200+300+145</f>
        <v>645</v>
      </c>
      <c r="E54" s="4">
        <v>0</v>
      </c>
      <c r="F54" s="4">
        <f>325+575+300+130</f>
        <v>1330</v>
      </c>
      <c r="G54" s="4">
        <f>350+350+425+375+115</f>
        <v>1615</v>
      </c>
    </row>
    <row r="55" spans="1:7" ht="15" customHeight="1">
      <c r="A55" s="14"/>
      <c r="B55" s="15" t="s">
        <v>188</v>
      </c>
      <c r="C55" s="4">
        <f t="shared" si="0"/>
        <v>3590</v>
      </c>
      <c r="D55" s="4">
        <f>275+275+275+300+130</f>
        <v>1255</v>
      </c>
      <c r="E55" s="4">
        <f>325+175+275</f>
        <v>775</v>
      </c>
      <c r="F55" s="4">
        <f>375+325</f>
        <v>700</v>
      </c>
      <c r="G55" s="4">
        <f>160+350+350</f>
        <v>860</v>
      </c>
    </row>
    <row r="56" spans="1:7" ht="15" customHeight="1">
      <c r="A56" s="14"/>
      <c r="B56" s="15" t="s">
        <v>185</v>
      </c>
      <c r="C56" s="4">
        <f t="shared" si="0"/>
        <v>3525</v>
      </c>
      <c r="D56" s="4">
        <v>0</v>
      </c>
      <c r="E56" s="4">
        <f>475+575</f>
        <v>1050</v>
      </c>
      <c r="F56" s="4">
        <f>275+475+325</f>
        <v>1075</v>
      </c>
      <c r="G56" s="4">
        <f>325+350+350+375</f>
        <v>1400</v>
      </c>
    </row>
    <row r="57" spans="1:7" ht="15" customHeight="1">
      <c r="A57" s="14"/>
      <c r="B57" s="15" t="s">
        <v>514</v>
      </c>
      <c r="C57" s="4">
        <f t="shared" si="0"/>
        <v>3420</v>
      </c>
      <c r="D57" s="4">
        <v>0</v>
      </c>
      <c r="E57" s="4">
        <f>160+350+575</f>
        <v>1085</v>
      </c>
      <c r="F57" s="4">
        <f>300+475+375+225</f>
        <v>1375</v>
      </c>
      <c r="G57" s="4">
        <f>160+575+225</f>
        <v>960</v>
      </c>
    </row>
    <row r="58" spans="1:7" ht="15" customHeight="1">
      <c r="A58" s="14"/>
      <c r="B58" s="15" t="s">
        <v>380</v>
      </c>
      <c r="C58" s="4">
        <f t="shared" si="0"/>
        <v>3375</v>
      </c>
      <c r="D58" s="4">
        <f>575+575+425</f>
        <v>1575</v>
      </c>
      <c r="E58" s="4">
        <f>350+275+575+300</f>
        <v>1500</v>
      </c>
      <c r="F58" s="4">
        <v>0</v>
      </c>
      <c r="G58" s="4">
        <f>300</f>
        <v>300</v>
      </c>
    </row>
    <row r="59" spans="1:7" ht="15" customHeight="1">
      <c r="A59" s="14"/>
      <c r="B59" s="15" t="s">
        <v>478</v>
      </c>
      <c r="C59" s="4">
        <f t="shared" si="0"/>
        <v>3375</v>
      </c>
      <c r="D59" s="4">
        <f>575+350+300+375</f>
        <v>1600</v>
      </c>
      <c r="E59" s="4">
        <f>575+475+350+375</f>
        <v>1775</v>
      </c>
      <c r="F59" s="4">
        <v>0</v>
      </c>
      <c r="G59" s="4">
        <v>0</v>
      </c>
    </row>
    <row r="60" spans="1:7" ht="15" customHeight="1">
      <c r="A60" s="14"/>
      <c r="B60" s="15" t="s">
        <v>487</v>
      </c>
      <c r="C60" s="4">
        <f t="shared" si="0"/>
        <v>3375</v>
      </c>
      <c r="D60" s="4">
        <f>145+200</f>
        <v>345</v>
      </c>
      <c r="E60" s="4">
        <f>145+375+250+350+575</f>
        <v>1695</v>
      </c>
      <c r="F60" s="4">
        <f>160+300+175</f>
        <v>635</v>
      </c>
      <c r="G60" s="4">
        <f>225+475</f>
        <v>700</v>
      </c>
    </row>
    <row r="61" spans="1:7" ht="15" customHeight="1">
      <c r="A61" s="14"/>
      <c r="B61" s="14" t="s">
        <v>404</v>
      </c>
      <c r="C61" s="4">
        <f t="shared" si="0"/>
        <v>3225</v>
      </c>
      <c r="D61" s="4">
        <f>300+475+350+575</f>
        <v>1700</v>
      </c>
      <c r="E61" s="4">
        <f>425+250+425+425</f>
        <v>1525</v>
      </c>
      <c r="F61" s="4">
        <v>0</v>
      </c>
      <c r="G61" s="4">
        <v>0</v>
      </c>
    </row>
    <row r="62" spans="1:7" ht="15" customHeight="1">
      <c r="A62" s="14"/>
      <c r="B62" s="15" t="s">
        <v>152</v>
      </c>
      <c r="C62" s="4">
        <f t="shared" si="0"/>
        <v>3160</v>
      </c>
      <c r="D62" s="4">
        <f>300+475+325+160+275+225</f>
        <v>1760</v>
      </c>
      <c r="E62" s="4">
        <f>275+475+225</f>
        <v>975</v>
      </c>
      <c r="F62" s="4">
        <f>175+250</f>
        <v>425</v>
      </c>
      <c r="G62" s="4">
        <v>0</v>
      </c>
    </row>
    <row r="63" spans="1:7" ht="15" customHeight="1">
      <c r="A63" s="14"/>
      <c r="B63" s="15" t="s">
        <v>57</v>
      </c>
      <c r="C63" s="4">
        <f t="shared" si="0"/>
        <v>3145</v>
      </c>
      <c r="D63" s="4">
        <f>145+115+200+475+200</f>
        <v>1135</v>
      </c>
      <c r="E63" s="4">
        <f>115+300</f>
        <v>415</v>
      </c>
      <c r="F63" s="4">
        <f>425+250</f>
        <v>675</v>
      </c>
      <c r="G63" s="4">
        <f>275+145+175+325</f>
        <v>920</v>
      </c>
    </row>
    <row r="64" spans="1:7" ht="15" customHeight="1">
      <c r="A64" s="14"/>
      <c r="B64" s="15" t="s">
        <v>286</v>
      </c>
      <c r="C64" s="4">
        <f t="shared" si="0"/>
        <v>3045</v>
      </c>
      <c r="D64" s="4">
        <v>0</v>
      </c>
      <c r="E64" s="4">
        <f>250+160</f>
        <v>410</v>
      </c>
      <c r="F64" s="4">
        <f>325+425+160</f>
        <v>910</v>
      </c>
      <c r="G64" s="4">
        <f>275+375+425+175+475</f>
        <v>1725</v>
      </c>
    </row>
    <row r="65" spans="1:7" ht="15" customHeight="1">
      <c r="A65" s="14"/>
      <c r="B65" s="15" t="s">
        <v>13</v>
      </c>
      <c r="C65" s="4">
        <f t="shared" si="0"/>
        <v>3020</v>
      </c>
      <c r="D65" s="4">
        <f>425</f>
        <v>425</v>
      </c>
      <c r="E65" s="4">
        <f>175+160+250</f>
        <v>585</v>
      </c>
      <c r="F65" s="4">
        <f>225+225+300+375+325+200</f>
        <v>1650</v>
      </c>
      <c r="G65" s="4">
        <f>115+130+115</f>
        <v>360</v>
      </c>
    </row>
    <row r="66" spans="1:7" ht="15" customHeight="1">
      <c r="A66" s="14"/>
      <c r="B66" s="15" t="s">
        <v>408</v>
      </c>
      <c r="C66" s="4">
        <f t="shared" si="0"/>
        <v>3010</v>
      </c>
      <c r="D66" s="4">
        <f>575+160+300+300+350</f>
        <v>1685</v>
      </c>
      <c r="E66" s="4">
        <f>425+175+375</f>
        <v>975</v>
      </c>
      <c r="F66" s="4">
        <f>350</f>
        <v>350</v>
      </c>
      <c r="G66" s="4">
        <v>0</v>
      </c>
    </row>
    <row r="67" spans="1:7" ht="15" customHeight="1">
      <c r="A67" s="14"/>
      <c r="B67" s="15" t="s">
        <v>187</v>
      </c>
      <c r="C67" s="4">
        <f t="shared" si="0"/>
        <v>3010</v>
      </c>
      <c r="D67" s="4">
        <f>225</f>
        <v>225</v>
      </c>
      <c r="E67" s="4">
        <f>350+225+275+325+325</f>
        <v>1500</v>
      </c>
      <c r="F67" s="4">
        <f>575+160+350</f>
        <v>1085</v>
      </c>
      <c r="G67" s="4">
        <f>200</f>
        <v>200</v>
      </c>
    </row>
    <row r="68" spans="1:7" ht="15" customHeight="1">
      <c r="A68" s="14"/>
      <c r="B68" s="15" t="s">
        <v>115</v>
      </c>
      <c r="C68" s="4">
        <f t="shared" si="0"/>
        <v>3000</v>
      </c>
      <c r="D68" s="4">
        <f>130+250+325</f>
        <v>705</v>
      </c>
      <c r="E68" s="4">
        <f>225+375+225</f>
        <v>825</v>
      </c>
      <c r="F68" s="4">
        <f>175+350+200+300</f>
        <v>1025</v>
      </c>
      <c r="G68" s="4">
        <f>300+145</f>
        <v>445</v>
      </c>
    </row>
    <row r="69" spans="1:7" ht="15" customHeight="1">
      <c r="A69" s="14"/>
      <c r="B69" s="14" t="s">
        <v>68</v>
      </c>
      <c r="C69" s="4">
        <f t="shared" si="0"/>
        <v>2980</v>
      </c>
      <c r="D69" s="4">
        <f>115</f>
        <v>115</v>
      </c>
      <c r="E69" s="4">
        <f>475+200+225</f>
        <v>900</v>
      </c>
      <c r="F69" s="4">
        <f>300+425</f>
        <v>725</v>
      </c>
      <c r="G69" s="4">
        <f>130+160+575+375</f>
        <v>1240</v>
      </c>
    </row>
    <row r="70" spans="1:7" ht="15" customHeight="1">
      <c r="A70" s="14"/>
      <c r="B70" s="15" t="s">
        <v>568</v>
      </c>
      <c r="C70" s="4">
        <f t="shared" si="0"/>
        <v>2875</v>
      </c>
      <c r="D70" s="4">
        <v>0</v>
      </c>
      <c r="E70" s="4">
        <f>375</f>
        <v>375</v>
      </c>
      <c r="F70" s="4">
        <f>425+425+250+425</f>
        <v>1525</v>
      </c>
      <c r="G70" s="4">
        <f>300+200+475</f>
        <v>975</v>
      </c>
    </row>
    <row r="71" spans="1:7" ht="15" customHeight="1">
      <c r="A71" s="14"/>
      <c r="B71" s="15" t="s">
        <v>313</v>
      </c>
      <c r="C71" s="4">
        <f t="shared" si="0"/>
        <v>2830</v>
      </c>
      <c r="D71" s="4">
        <f>475+225+250+350+375</f>
        <v>1675</v>
      </c>
      <c r="E71" s="4">
        <f>250+350</f>
        <v>600</v>
      </c>
      <c r="F71" s="4">
        <f>130+425</f>
        <v>555</v>
      </c>
      <c r="G71" s="4">
        <v>0</v>
      </c>
    </row>
    <row r="72" spans="1:7" ht="15" customHeight="1">
      <c r="A72" s="14"/>
      <c r="B72" s="15" t="s">
        <v>441</v>
      </c>
      <c r="C72" s="4">
        <f t="shared" si="0"/>
        <v>2620</v>
      </c>
      <c r="D72" s="4">
        <f>475+145+300</f>
        <v>920</v>
      </c>
      <c r="E72" s="4">
        <f>225+250+300+575+350</f>
        <v>1700</v>
      </c>
      <c r="F72" s="4">
        <v>0</v>
      </c>
      <c r="G72" s="4">
        <v>0</v>
      </c>
    </row>
    <row r="73" spans="1:7" ht="15" customHeight="1">
      <c r="A73" s="14"/>
      <c r="B73" s="15" t="s">
        <v>363</v>
      </c>
      <c r="C73" s="4">
        <f aca="true" t="shared" si="1" ref="C73:C136">D73+E73+F73+G73</f>
        <v>2615</v>
      </c>
      <c r="D73" s="4">
        <f>475+145+575</f>
        <v>1195</v>
      </c>
      <c r="E73" s="4">
        <f>350</f>
        <v>350</v>
      </c>
      <c r="F73" s="4">
        <f>350</f>
        <v>350</v>
      </c>
      <c r="G73" s="4">
        <f>575+145</f>
        <v>720</v>
      </c>
    </row>
    <row r="74" spans="1:7" ht="15" customHeight="1">
      <c r="A74" s="14"/>
      <c r="B74" s="15" t="s">
        <v>277</v>
      </c>
      <c r="C74" s="4">
        <f t="shared" si="1"/>
        <v>2615</v>
      </c>
      <c r="D74" s="4">
        <f>115+200+200+250</f>
        <v>765</v>
      </c>
      <c r="E74" s="4">
        <f>160+250+325</f>
        <v>735</v>
      </c>
      <c r="F74" s="4">
        <f>160+350</f>
        <v>510</v>
      </c>
      <c r="G74" s="4">
        <f>475+130</f>
        <v>605</v>
      </c>
    </row>
    <row r="75" spans="1:7" ht="15" customHeight="1">
      <c r="A75" s="14"/>
      <c r="B75" s="15" t="s">
        <v>551</v>
      </c>
      <c r="C75" s="4">
        <f t="shared" si="1"/>
        <v>2600</v>
      </c>
      <c r="D75" s="4">
        <v>0</v>
      </c>
      <c r="E75" s="4">
        <f>175+300</f>
        <v>475</v>
      </c>
      <c r="F75" s="4">
        <f>575+475+475+350</f>
        <v>1875</v>
      </c>
      <c r="G75" s="4">
        <f>250</f>
        <v>250</v>
      </c>
    </row>
    <row r="76" spans="1:7" ht="15" customHeight="1">
      <c r="A76" s="14"/>
      <c r="B76" s="15" t="s">
        <v>564</v>
      </c>
      <c r="C76" s="4">
        <f t="shared" si="1"/>
        <v>2535</v>
      </c>
      <c r="D76" s="4">
        <v>0</v>
      </c>
      <c r="E76" s="4">
        <v>0</v>
      </c>
      <c r="F76" s="4">
        <f>130+160+425+175</f>
        <v>890</v>
      </c>
      <c r="G76" s="4">
        <f>145+175+175+225+145+375+160+115+130</f>
        <v>1645</v>
      </c>
    </row>
    <row r="77" spans="1:7" ht="15" customHeight="1">
      <c r="A77" s="14"/>
      <c r="B77" s="15" t="s">
        <v>52</v>
      </c>
      <c r="C77" s="4">
        <f t="shared" si="1"/>
        <v>2530</v>
      </c>
      <c r="D77" s="4">
        <f>130+425</f>
        <v>555</v>
      </c>
      <c r="E77" s="4">
        <f>225</f>
        <v>225</v>
      </c>
      <c r="F77" s="4">
        <f>475+475+325</f>
        <v>1275</v>
      </c>
      <c r="G77" s="4">
        <f>275+200</f>
        <v>475</v>
      </c>
    </row>
    <row r="78" spans="1:7" ht="15" customHeight="1">
      <c r="A78" s="14"/>
      <c r="B78" s="15" t="s">
        <v>410</v>
      </c>
      <c r="C78" s="4">
        <f t="shared" si="1"/>
        <v>2525</v>
      </c>
      <c r="D78" s="4">
        <f>160+475+175+375+250</f>
        <v>1435</v>
      </c>
      <c r="E78" s="4">
        <f>350+250+200+145</f>
        <v>945</v>
      </c>
      <c r="F78" s="4">
        <f>145</f>
        <v>145</v>
      </c>
      <c r="G78" s="4">
        <v>0</v>
      </c>
    </row>
    <row r="79" spans="1:7" ht="15" customHeight="1">
      <c r="A79" s="14"/>
      <c r="B79" s="15" t="s">
        <v>304</v>
      </c>
      <c r="C79" s="4">
        <f t="shared" si="1"/>
        <v>2505</v>
      </c>
      <c r="D79" s="4">
        <f>425+175+250+325+300</f>
        <v>1475</v>
      </c>
      <c r="E79" s="4">
        <f>375+425+115</f>
        <v>915</v>
      </c>
      <c r="F79" s="4">
        <f>115</f>
        <v>115</v>
      </c>
      <c r="G79" s="4">
        <v>0</v>
      </c>
    </row>
    <row r="80" spans="1:7" ht="15" customHeight="1">
      <c r="A80" s="14"/>
      <c r="B80" s="15" t="s">
        <v>21</v>
      </c>
      <c r="C80" s="4">
        <f t="shared" si="1"/>
        <v>2485</v>
      </c>
      <c r="D80" s="4">
        <f>350+275+200+175</f>
        <v>1000</v>
      </c>
      <c r="E80" s="4">
        <v>0</v>
      </c>
      <c r="F80" s="4">
        <f>200+475</f>
        <v>675</v>
      </c>
      <c r="G80" s="4">
        <f>475+175+160</f>
        <v>810</v>
      </c>
    </row>
    <row r="81" spans="1:7" ht="15" customHeight="1">
      <c r="A81" s="14"/>
      <c r="B81" s="15" t="s">
        <v>230</v>
      </c>
      <c r="C81" s="4">
        <f t="shared" si="1"/>
        <v>2485</v>
      </c>
      <c r="D81" s="4">
        <f>225+200+145+175</f>
        <v>745</v>
      </c>
      <c r="E81" s="4">
        <f>160+225+275</f>
        <v>660</v>
      </c>
      <c r="F81" s="4">
        <f>115+375</f>
        <v>490</v>
      </c>
      <c r="G81" s="4">
        <f>115+475</f>
        <v>590</v>
      </c>
    </row>
    <row r="82" spans="1:7" ht="15" customHeight="1">
      <c r="A82" s="14"/>
      <c r="B82" s="15" t="s">
        <v>30</v>
      </c>
      <c r="C82" s="4">
        <f t="shared" si="1"/>
        <v>2455</v>
      </c>
      <c r="D82" s="4">
        <f>130+300+175+325</f>
        <v>930</v>
      </c>
      <c r="E82" s="4">
        <v>0</v>
      </c>
      <c r="F82" s="4">
        <f>375+300</f>
        <v>675</v>
      </c>
      <c r="G82" s="4">
        <f>375+475</f>
        <v>850</v>
      </c>
    </row>
    <row r="83" spans="1:7" ht="15" customHeight="1">
      <c r="A83" s="14"/>
      <c r="B83" s="15" t="s">
        <v>64</v>
      </c>
      <c r="C83" s="4">
        <f t="shared" si="1"/>
        <v>2355</v>
      </c>
      <c r="D83" s="4">
        <f>475+145+160+300+425+175+325+350</f>
        <v>2355</v>
      </c>
      <c r="E83" s="4">
        <v>0</v>
      </c>
      <c r="F83" s="4">
        <v>0</v>
      </c>
      <c r="G83" s="4">
        <v>0</v>
      </c>
    </row>
    <row r="84" spans="1:7" ht="15" customHeight="1">
      <c r="A84" s="14"/>
      <c r="B84" s="15" t="s">
        <v>11</v>
      </c>
      <c r="C84" s="4">
        <f t="shared" si="1"/>
        <v>2325</v>
      </c>
      <c r="D84" s="4">
        <f>250+250+325+300</f>
        <v>1125</v>
      </c>
      <c r="E84" s="4">
        <f>375+575</f>
        <v>950</v>
      </c>
      <c r="F84" s="4">
        <v>0</v>
      </c>
      <c r="G84" s="4">
        <f>250</f>
        <v>250</v>
      </c>
    </row>
    <row r="85" spans="1:7" ht="15" customHeight="1">
      <c r="A85" s="14"/>
      <c r="B85" s="14" t="s">
        <v>149</v>
      </c>
      <c r="C85" s="4">
        <f t="shared" si="1"/>
        <v>2235</v>
      </c>
      <c r="D85" s="4">
        <f>225+275+160</f>
        <v>660</v>
      </c>
      <c r="E85" s="4">
        <f>475+325+425</f>
        <v>1225</v>
      </c>
      <c r="F85" s="4">
        <v>0</v>
      </c>
      <c r="G85" s="4">
        <f>350</f>
        <v>350</v>
      </c>
    </row>
    <row r="86" spans="1:7" ht="15" customHeight="1">
      <c r="A86" s="14"/>
      <c r="B86" s="15" t="s">
        <v>379</v>
      </c>
      <c r="C86" s="4">
        <f t="shared" si="1"/>
        <v>2225</v>
      </c>
      <c r="D86" s="4">
        <f>325+475+325</f>
        <v>1125</v>
      </c>
      <c r="E86" s="4">
        <f>575+250+275</f>
        <v>1100</v>
      </c>
      <c r="F86" s="4">
        <v>0</v>
      </c>
      <c r="G86" s="4">
        <v>0</v>
      </c>
    </row>
    <row r="87" spans="1:7" ht="15" customHeight="1">
      <c r="A87" s="14"/>
      <c r="B87" s="15" t="s">
        <v>591</v>
      </c>
      <c r="C87" s="4">
        <f t="shared" si="1"/>
        <v>2200</v>
      </c>
      <c r="D87" s="4">
        <v>0</v>
      </c>
      <c r="E87" s="4">
        <v>0</v>
      </c>
      <c r="F87" s="4">
        <f>325</f>
        <v>325</v>
      </c>
      <c r="G87" s="4">
        <f>375+575+575+350</f>
        <v>1875</v>
      </c>
    </row>
    <row r="88" spans="1:7" ht="15" customHeight="1">
      <c r="A88" s="14"/>
      <c r="B88" s="15" t="s">
        <v>45</v>
      </c>
      <c r="C88" s="4">
        <f t="shared" si="1"/>
        <v>2075</v>
      </c>
      <c r="D88" s="4">
        <f>325</f>
        <v>325</v>
      </c>
      <c r="E88" s="4">
        <v>0</v>
      </c>
      <c r="F88" s="4">
        <f>275+300+375</f>
        <v>950</v>
      </c>
      <c r="G88" s="4">
        <f>325+475</f>
        <v>800</v>
      </c>
    </row>
    <row r="89" spans="1:7" ht="15" customHeight="1">
      <c r="A89" s="14"/>
      <c r="B89" s="15" t="s">
        <v>637</v>
      </c>
      <c r="C89" s="4">
        <f t="shared" si="1"/>
        <v>2025</v>
      </c>
      <c r="D89" s="4">
        <v>0</v>
      </c>
      <c r="E89" s="4">
        <f>275+200</f>
        <v>475</v>
      </c>
      <c r="F89" s="4">
        <f>350+250+350+300</f>
        <v>1250</v>
      </c>
      <c r="G89" s="4">
        <f>300</f>
        <v>300</v>
      </c>
    </row>
    <row r="90" spans="1:7" ht="15" customHeight="1">
      <c r="A90" s="14"/>
      <c r="B90" s="15" t="s">
        <v>247</v>
      </c>
      <c r="C90" s="4">
        <f t="shared" si="1"/>
        <v>1950</v>
      </c>
      <c r="D90" s="4">
        <v>0</v>
      </c>
      <c r="E90" s="4">
        <f>425</f>
        <v>425</v>
      </c>
      <c r="F90" s="4">
        <f>200+350+475+250+250</f>
        <v>1525</v>
      </c>
      <c r="G90" s="4">
        <v>0</v>
      </c>
    </row>
    <row r="91" spans="1:7" ht="15" customHeight="1">
      <c r="A91" s="14"/>
      <c r="B91" s="15" t="s">
        <v>281</v>
      </c>
      <c r="C91" s="4">
        <f t="shared" si="1"/>
        <v>1900</v>
      </c>
      <c r="D91" s="4">
        <f>425+375+475</f>
        <v>1275</v>
      </c>
      <c r="E91" s="4">
        <f>375+250</f>
        <v>625</v>
      </c>
      <c r="F91" s="4">
        <v>0</v>
      </c>
      <c r="G91" s="4">
        <v>0</v>
      </c>
    </row>
    <row r="92" spans="1:7" ht="15" customHeight="1">
      <c r="A92" s="14"/>
      <c r="B92" s="15" t="s">
        <v>94</v>
      </c>
      <c r="C92" s="4">
        <f t="shared" si="1"/>
        <v>1855</v>
      </c>
      <c r="D92" s="4">
        <f>225+425</f>
        <v>650</v>
      </c>
      <c r="E92" s="4">
        <v>0</v>
      </c>
      <c r="F92" s="4">
        <f>175+325</f>
        <v>500</v>
      </c>
      <c r="G92" s="4">
        <f>575+130</f>
        <v>705</v>
      </c>
    </row>
    <row r="93" spans="1:7" ht="15" customHeight="1">
      <c r="A93" s="14"/>
      <c r="B93" s="15" t="s">
        <v>405</v>
      </c>
      <c r="C93" s="4">
        <f t="shared" si="1"/>
        <v>1850</v>
      </c>
      <c r="D93" s="4">
        <f>250+425+350</f>
        <v>1025</v>
      </c>
      <c r="E93" s="4">
        <f>475+350</f>
        <v>825</v>
      </c>
      <c r="F93" s="4">
        <v>0</v>
      </c>
      <c r="G93" s="4">
        <v>0</v>
      </c>
    </row>
    <row r="94" spans="1:7" ht="15" customHeight="1">
      <c r="A94" s="14"/>
      <c r="B94" s="15" t="s">
        <v>16</v>
      </c>
      <c r="C94" s="4">
        <f t="shared" si="1"/>
        <v>1850</v>
      </c>
      <c r="D94" s="4">
        <f>200+350</f>
        <v>550</v>
      </c>
      <c r="E94" s="4">
        <f>300</f>
        <v>300</v>
      </c>
      <c r="F94" s="4">
        <f>575</f>
        <v>575</v>
      </c>
      <c r="G94" s="4">
        <f>425</f>
        <v>425</v>
      </c>
    </row>
    <row r="95" spans="1:7" ht="15" customHeight="1">
      <c r="A95" s="14"/>
      <c r="B95" s="15" t="s">
        <v>562</v>
      </c>
      <c r="C95" s="4">
        <f t="shared" si="1"/>
        <v>1805</v>
      </c>
      <c r="D95" s="4">
        <v>0</v>
      </c>
      <c r="E95" s="4">
        <f>175</f>
        <v>175</v>
      </c>
      <c r="F95" s="4">
        <f>130</f>
        <v>130</v>
      </c>
      <c r="G95" s="4">
        <f>425+475+300+300</f>
        <v>1500</v>
      </c>
    </row>
    <row r="96" spans="1:7" ht="15" customHeight="1">
      <c r="A96" s="14"/>
      <c r="B96" s="15" t="s">
        <v>95</v>
      </c>
      <c r="C96" s="4">
        <f t="shared" si="1"/>
        <v>1765</v>
      </c>
      <c r="D96" s="4">
        <v>0</v>
      </c>
      <c r="E96" s="4">
        <f>145+475+145+375</f>
        <v>1140</v>
      </c>
      <c r="F96" s="4">
        <f>200</f>
        <v>200</v>
      </c>
      <c r="G96" s="4">
        <f>425</f>
        <v>425</v>
      </c>
    </row>
    <row r="97" spans="1:7" ht="15" customHeight="1">
      <c r="A97" s="14"/>
      <c r="B97" s="15" t="s">
        <v>393</v>
      </c>
      <c r="C97" s="4">
        <f t="shared" si="1"/>
        <v>1760</v>
      </c>
      <c r="D97" s="4">
        <f>325+325+250+160</f>
        <v>1060</v>
      </c>
      <c r="E97" s="4">
        <f>350</f>
        <v>350</v>
      </c>
      <c r="F97" s="4">
        <v>0</v>
      </c>
      <c r="G97" s="4">
        <f>350</f>
        <v>350</v>
      </c>
    </row>
    <row r="98" spans="1:7" ht="15" customHeight="1">
      <c r="A98" s="14"/>
      <c r="B98" s="15" t="s">
        <v>392</v>
      </c>
      <c r="C98" s="4">
        <f t="shared" si="1"/>
        <v>1740</v>
      </c>
      <c r="D98" s="4">
        <f>175+200+160+325</f>
        <v>860</v>
      </c>
      <c r="E98" s="4">
        <f>475+160</f>
        <v>635</v>
      </c>
      <c r="F98" s="4">
        <v>0</v>
      </c>
      <c r="G98" s="4">
        <f>130+115</f>
        <v>245</v>
      </c>
    </row>
    <row r="99" spans="1:7" ht="15" customHeight="1">
      <c r="A99" s="14"/>
      <c r="B99" s="15" t="s">
        <v>114</v>
      </c>
      <c r="C99" s="4">
        <f t="shared" si="1"/>
        <v>1740</v>
      </c>
      <c r="D99" s="4">
        <v>0</v>
      </c>
      <c r="E99" s="4">
        <f>175</f>
        <v>175</v>
      </c>
      <c r="F99" s="4">
        <f>175+160+130+275+475+350</f>
        <v>1565</v>
      </c>
      <c r="G99" s="4">
        <v>0</v>
      </c>
    </row>
    <row r="100" spans="1:7" ht="15" customHeight="1">
      <c r="A100" s="14"/>
      <c r="B100" s="15" t="s">
        <v>480</v>
      </c>
      <c r="C100" s="4">
        <f t="shared" si="1"/>
        <v>1725</v>
      </c>
      <c r="D100" s="4">
        <f>350+425+325</f>
        <v>1100</v>
      </c>
      <c r="E100" s="4">
        <f>325+300</f>
        <v>625</v>
      </c>
      <c r="F100" s="4">
        <v>0</v>
      </c>
      <c r="G100" s="4">
        <v>0</v>
      </c>
    </row>
    <row r="101" spans="1:7" ht="15" customHeight="1">
      <c r="A101" s="14"/>
      <c r="B101" s="15" t="s">
        <v>88</v>
      </c>
      <c r="C101" s="4">
        <f t="shared" si="1"/>
        <v>1695</v>
      </c>
      <c r="D101" s="4">
        <v>0</v>
      </c>
      <c r="E101" s="4">
        <f>325</f>
        <v>325</v>
      </c>
      <c r="F101" s="4">
        <f>425+425+145</f>
        <v>995</v>
      </c>
      <c r="G101" s="4">
        <f>375</f>
        <v>375</v>
      </c>
    </row>
    <row r="102" spans="1:7" ht="15" customHeight="1">
      <c r="A102" s="14"/>
      <c r="B102" s="15" t="s">
        <v>255</v>
      </c>
      <c r="C102" s="4">
        <f t="shared" si="1"/>
        <v>1690</v>
      </c>
      <c r="D102" s="4">
        <f>130</f>
        <v>130</v>
      </c>
      <c r="E102" s="4">
        <f>160+300</f>
        <v>460</v>
      </c>
      <c r="F102" s="4">
        <f>325+225</f>
        <v>550</v>
      </c>
      <c r="G102" s="4">
        <f>300+250</f>
        <v>550</v>
      </c>
    </row>
    <row r="103" spans="1:7" ht="15" customHeight="1">
      <c r="A103" s="14"/>
      <c r="B103" s="15" t="s">
        <v>532</v>
      </c>
      <c r="C103" s="4">
        <f t="shared" si="1"/>
        <v>1670</v>
      </c>
      <c r="D103" s="4">
        <v>0</v>
      </c>
      <c r="E103" s="4">
        <f>425+375+475</f>
        <v>1275</v>
      </c>
      <c r="F103" s="4">
        <f>145</f>
        <v>145</v>
      </c>
      <c r="G103" s="4">
        <f>250</f>
        <v>250</v>
      </c>
    </row>
    <row r="104" spans="1:7" ht="15" customHeight="1">
      <c r="A104" s="14"/>
      <c r="B104" s="15" t="s">
        <v>569</v>
      </c>
      <c r="C104" s="4">
        <f t="shared" si="1"/>
        <v>1660</v>
      </c>
      <c r="D104" s="4">
        <v>0</v>
      </c>
      <c r="E104" s="4">
        <f>300</f>
        <v>300</v>
      </c>
      <c r="F104" s="4">
        <f>350+160</f>
        <v>510</v>
      </c>
      <c r="G104" s="4">
        <f>475+375</f>
        <v>850</v>
      </c>
    </row>
    <row r="105" spans="1:7" ht="15" customHeight="1">
      <c r="A105" s="14"/>
      <c r="B105" s="15" t="s">
        <v>613</v>
      </c>
      <c r="C105" s="4">
        <f t="shared" si="1"/>
        <v>1600</v>
      </c>
      <c r="D105" s="4">
        <v>0</v>
      </c>
      <c r="E105" s="4">
        <v>0</v>
      </c>
      <c r="F105" s="4">
        <f>350+325+250</f>
        <v>925</v>
      </c>
      <c r="G105" s="4">
        <f>325+350</f>
        <v>675</v>
      </c>
    </row>
    <row r="106" spans="1:7" ht="15" customHeight="1">
      <c r="A106" s="14"/>
      <c r="B106" s="14" t="s">
        <v>62</v>
      </c>
      <c r="C106" s="4">
        <f t="shared" si="1"/>
        <v>1585</v>
      </c>
      <c r="D106" s="4">
        <f>175</f>
        <v>175</v>
      </c>
      <c r="E106" s="4">
        <f>200</f>
        <v>200</v>
      </c>
      <c r="F106" s="4">
        <f>325+115</f>
        <v>440</v>
      </c>
      <c r="G106" s="4">
        <f>250+375+145</f>
        <v>770</v>
      </c>
    </row>
    <row r="107" spans="1:7" ht="15" customHeight="1">
      <c r="A107" s="14"/>
      <c r="B107" s="15" t="s">
        <v>9</v>
      </c>
      <c r="C107" s="4">
        <f t="shared" si="1"/>
        <v>1560</v>
      </c>
      <c r="D107" s="4">
        <f>130+325+115</f>
        <v>570</v>
      </c>
      <c r="E107" s="4">
        <f>350</f>
        <v>350</v>
      </c>
      <c r="F107" s="4">
        <f>160+160</f>
        <v>320</v>
      </c>
      <c r="G107" s="4">
        <f>145+175</f>
        <v>320</v>
      </c>
    </row>
    <row r="108" spans="1:7" ht="15" customHeight="1">
      <c r="A108" s="14"/>
      <c r="B108" s="15" t="s">
        <v>550</v>
      </c>
      <c r="C108" s="4">
        <f t="shared" si="1"/>
        <v>1500</v>
      </c>
      <c r="D108" s="4">
        <v>0</v>
      </c>
      <c r="E108" s="4">
        <f>200+250</f>
        <v>450</v>
      </c>
      <c r="F108" s="4">
        <f>375+300</f>
        <v>675</v>
      </c>
      <c r="G108" s="4">
        <f>375</f>
        <v>375</v>
      </c>
    </row>
    <row r="109" spans="1:7" ht="15" customHeight="1">
      <c r="A109" s="14"/>
      <c r="B109" s="15" t="s">
        <v>390</v>
      </c>
      <c r="C109" s="4">
        <f t="shared" si="1"/>
        <v>1480</v>
      </c>
      <c r="D109" s="4">
        <f>350+425+575</f>
        <v>1350</v>
      </c>
      <c r="E109" s="4">
        <f>130</f>
        <v>130</v>
      </c>
      <c r="F109" s="4">
        <v>0</v>
      </c>
      <c r="G109" s="4">
        <v>0</v>
      </c>
    </row>
    <row r="110" spans="1:7" ht="15" customHeight="1">
      <c r="A110" s="14"/>
      <c r="B110" s="15" t="s">
        <v>121</v>
      </c>
      <c r="C110" s="4">
        <f t="shared" si="1"/>
        <v>1370</v>
      </c>
      <c r="D110" s="4">
        <f>250+325+145</f>
        <v>720</v>
      </c>
      <c r="E110" s="4">
        <f>350+300</f>
        <v>650</v>
      </c>
      <c r="F110" s="4">
        <v>0</v>
      </c>
      <c r="G110" s="4">
        <v>0</v>
      </c>
    </row>
    <row r="111" spans="1:7" ht="15" customHeight="1">
      <c r="A111" s="14"/>
      <c r="B111" s="15" t="s">
        <v>282</v>
      </c>
      <c r="C111" s="4">
        <f t="shared" si="1"/>
        <v>1350</v>
      </c>
      <c r="D111" s="4">
        <f>475+300</f>
        <v>775</v>
      </c>
      <c r="E111" s="4">
        <f>300+275</f>
        <v>575</v>
      </c>
      <c r="F111" s="4">
        <v>0</v>
      </c>
      <c r="G111" s="4">
        <v>0</v>
      </c>
    </row>
    <row r="112" spans="1:7" ht="15" customHeight="1">
      <c r="A112" s="14"/>
      <c r="B112" s="15" t="s">
        <v>289</v>
      </c>
      <c r="C112" s="4">
        <f t="shared" si="1"/>
        <v>1325</v>
      </c>
      <c r="D112" s="4">
        <v>0</v>
      </c>
      <c r="E112" s="4">
        <f>425+475+425</f>
        <v>1325</v>
      </c>
      <c r="F112" s="4">
        <v>0</v>
      </c>
      <c r="G112" s="4">
        <v>0</v>
      </c>
    </row>
    <row r="113" spans="1:7" ht="15" customHeight="1">
      <c r="A113" s="14"/>
      <c r="B113" s="14" t="s">
        <v>641</v>
      </c>
      <c r="C113" s="4">
        <f t="shared" si="1"/>
        <v>1305</v>
      </c>
      <c r="D113" s="4">
        <v>0</v>
      </c>
      <c r="E113" s="4">
        <v>0</v>
      </c>
      <c r="F113" s="4">
        <f>275</f>
        <v>275</v>
      </c>
      <c r="G113" s="4">
        <f>325+575+130</f>
        <v>1030</v>
      </c>
    </row>
    <row r="114" spans="1:7" ht="15" customHeight="1">
      <c r="A114" s="14"/>
      <c r="B114" s="15" t="s">
        <v>510</v>
      </c>
      <c r="C114" s="4">
        <f t="shared" si="1"/>
        <v>1300</v>
      </c>
      <c r="D114" s="4">
        <v>0</v>
      </c>
      <c r="E114" s="4">
        <f>200+160</f>
        <v>360</v>
      </c>
      <c r="F114" s="4">
        <f>250</f>
        <v>250</v>
      </c>
      <c r="G114" s="4">
        <f>115+300+275</f>
        <v>690</v>
      </c>
    </row>
    <row r="115" spans="1:7" ht="15" customHeight="1">
      <c r="A115" s="14"/>
      <c r="B115" s="15" t="s">
        <v>110</v>
      </c>
      <c r="C115" s="4">
        <f t="shared" si="1"/>
        <v>1285</v>
      </c>
      <c r="D115" s="4">
        <f>145+375+475+115</f>
        <v>1110</v>
      </c>
      <c r="E115" s="4">
        <f>175</f>
        <v>175</v>
      </c>
      <c r="F115" s="4">
        <v>0</v>
      </c>
      <c r="G115" s="4">
        <v>0</v>
      </c>
    </row>
    <row r="116" spans="1:7" ht="15" customHeight="1">
      <c r="A116" s="14"/>
      <c r="B116" s="15" t="s">
        <v>265</v>
      </c>
      <c r="C116" s="4">
        <f t="shared" si="1"/>
        <v>1270</v>
      </c>
      <c r="D116" s="4">
        <f>175</f>
        <v>175</v>
      </c>
      <c r="E116" s="4">
        <f>300</f>
        <v>300</v>
      </c>
      <c r="F116" s="4">
        <f>350</f>
        <v>350</v>
      </c>
      <c r="G116" s="4">
        <f>145+300</f>
        <v>445</v>
      </c>
    </row>
    <row r="117" spans="1:7" ht="15" customHeight="1">
      <c r="A117" s="14"/>
      <c r="B117" s="15" t="s">
        <v>470</v>
      </c>
      <c r="C117" s="4">
        <f t="shared" si="1"/>
        <v>1265</v>
      </c>
      <c r="D117" s="4">
        <f>145+275</f>
        <v>420</v>
      </c>
      <c r="E117" s="4">
        <f>160+115</f>
        <v>275</v>
      </c>
      <c r="F117" s="4">
        <f>425+145</f>
        <v>570</v>
      </c>
      <c r="G117" s="4">
        <v>0</v>
      </c>
    </row>
    <row r="118" spans="1:7" ht="15" customHeight="1">
      <c r="A118" s="14"/>
      <c r="B118" s="15" t="s">
        <v>173</v>
      </c>
      <c r="C118" s="4">
        <f t="shared" si="1"/>
        <v>1250</v>
      </c>
      <c r="D118" s="4">
        <f>175+325</f>
        <v>500</v>
      </c>
      <c r="E118" s="4">
        <f>425+325</f>
        <v>750</v>
      </c>
      <c r="F118" s="4">
        <v>0</v>
      </c>
      <c r="G118" s="4">
        <v>0</v>
      </c>
    </row>
    <row r="119" spans="1:7" ht="15" customHeight="1">
      <c r="A119" s="14"/>
      <c r="B119" s="15" t="s">
        <v>605</v>
      </c>
      <c r="C119" s="4">
        <f t="shared" si="1"/>
        <v>1225</v>
      </c>
      <c r="D119" s="4">
        <v>0</v>
      </c>
      <c r="E119" s="4">
        <v>0</v>
      </c>
      <c r="F119" s="4">
        <f>325+325</f>
        <v>650</v>
      </c>
      <c r="G119" s="4">
        <f>225+350</f>
        <v>575</v>
      </c>
    </row>
    <row r="120" spans="1:7" ht="15" customHeight="1">
      <c r="A120" s="14"/>
      <c r="B120" s="15" t="s">
        <v>312</v>
      </c>
      <c r="C120" s="4">
        <f t="shared" si="1"/>
        <v>1225</v>
      </c>
      <c r="D120" s="4">
        <f>200+325+475+225</f>
        <v>1225</v>
      </c>
      <c r="E120" s="4">
        <v>0</v>
      </c>
      <c r="F120" s="4">
        <v>0</v>
      </c>
      <c r="G120" s="4">
        <v>0</v>
      </c>
    </row>
    <row r="121" spans="1:7" ht="15" customHeight="1">
      <c r="A121" s="14"/>
      <c r="B121" s="15" t="s">
        <v>18</v>
      </c>
      <c r="C121" s="4">
        <f t="shared" si="1"/>
        <v>1220</v>
      </c>
      <c r="D121" s="4">
        <f>145</f>
        <v>145</v>
      </c>
      <c r="E121" s="4">
        <f>375+350+350</f>
        <v>1075</v>
      </c>
      <c r="F121" s="4">
        <v>0</v>
      </c>
      <c r="G121" s="4">
        <v>0</v>
      </c>
    </row>
    <row r="122" spans="1:7" ht="15" customHeight="1">
      <c r="A122" s="14"/>
      <c r="B122" s="15" t="s">
        <v>92</v>
      </c>
      <c r="C122" s="4">
        <f t="shared" si="1"/>
        <v>1200</v>
      </c>
      <c r="D122" s="4">
        <v>0</v>
      </c>
      <c r="E122" s="4">
        <v>0</v>
      </c>
      <c r="F122" s="4">
        <v>0</v>
      </c>
      <c r="G122" s="4">
        <f>250+175+200+275+300</f>
        <v>1200</v>
      </c>
    </row>
    <row r="123" spans="1:7" ht="15" customHeight="1">
      <c r="A123" s="14"/>
      <c r="B123" s="15" t="s">
        <v>66</v>
      </c>
      <c r="C123" s="4">
        <f t="shared" si="1"/>
        <v>1150</v>
      </c>
      <c r="D123" s="4">
        <v>0</v>
      </c>
      <c r="E123" s="4">
        <v>0</v>
      </c>
      <c r="F123" s="4">
        <f>575</f>
        <v>575</v>
      </c>
      <c r="G123" s="4">
        <f>375+200</f>
        <v>575</v>
      </c>
    </row>
    <row r="124" spans="1:7" ht="15" customHeight="1">
      <c r="A124" s="14"/>
      <c r="B124" s="15" t="s">
        <v>494</v>
      </c>
      <c r="C124" s="4">
        <f t="shared" si="1"/>
        <v>1140</v>
      </c>
      <c r="D124" s="4">
        <f>225</f>
        <v>225</v>
      </c>
      <c r="E124" s="4">
        <f>225+575</f>
        <v>800</v>
      </c>
      <c r="F124" s="4">
        <f>115</f>
        <v>115</v>
      </c>
      <c r="G124" s="4">
        <v>0</v>
      </c>
    </row>
    <row r="125" spans="1:7" ht="15" customHeight="1">
      <c r="A125" s="14"/>
      <c r="B125" s="15" t="s">
        <v>538</v>
      </c>
      <c r="C125" s="4">
        <f t="shared" si="1"/>
        <v>1095</v>
      </c>
      <c r="D125" s="4">
        <v>0</v>
      </c>
      <c r="E125" s="4">
        <f>575+175</f>
        <v>750</v>
      </c>
      <c r="F125" s="4">
        <f>200+145</f>
        <v>345</v>
      </c>
      <c r="G125" s="4">
        <v>0</v>
      </c>
    </row>
    <row r="126" spans="1:7" ht="15" customHeight="1">
      <c r="A126" s="14"/>
      <c r="B126" s="15" t="s">
        <v>204</v>
      </c>
      <c r="C126" s="4">
        <f t="shared" si="1"/>
        <v>1075</v>
      </c>
      <c r="D126" s="4">
        <v>0</v>
      </c>
      <c r="E126" s="4">
        <f>425+350</f>
        <v>775</v>
      </c>
      <c r="F126" s="4">
        <f>300</f>
        <v>300</v>
      </c>
      <c r="G126" s="4">
        <v>0</v>
      </c>
    </row>
    <row r="127" spans="1:7" ht="15" customHeight="1">
      <c r="A127" s="14"/>
      <c r="B127" s="14" t="s">
        <v>674</v>
      </c>
      <c r="C127" s="4">
        <f t="shared" si="1"/>
        <v>1050</v>
      </c>
      <c r="D127" s="4">
        <v>0</v>
      </c>
      <c r="E127" s="4">
        <v>0</v>
      </c>
      <c r="F127" s="4">
        <v>0</v>
      </c>
      <c r="G127" s="4">
        <f>350+350+350</f>
        <v>1050</v>
      </c>
    </row>
    <row r="128" spans="1:7" ht="15" customHeight="1">
      <c r="A128" s="14"/>
      <c r="B128" s="15" t="s">
        <v>135</v>
      </c>
      <c r="C128" s="4">
        <f t="shared" si="1"/>
        <v>1050</v>
      </c>
      <c r="D128" s="4">
        <f>575</f>
        <v>575</v>
      </c>
      <c r="E128" s="4">
        <f>475</f>
        <v>475</v>
      </c>
      <c r="F128" s="4">
        <v>0</v>
      </c>
      <c r="G128" s="4">
        <v>0</v>
      </c>
    </row>
    <row r="129" spans="1:7" ht="15" customHeight="1">
      <c r="A129" s="14"/>
      <c r="B129" s="15" t="s">
        <v>261</v>
      </c>
      <c r="C129" s="4">
        <f t="shared" si="1"/>
        <v>1000</v>
      </c>
      <c r="D129" s="4">
        <v>0</v>
      </c>
      <c r="E129" s="4">
        <f>200</f>
        <v>200</v>
      </c>
      <c r="F129" s="4">
        <f>375</f>
        <v>375</v>
      </c>
      <c r="G129" s="4">
        <f>425</f>
        <v>425</v>
      </c>
    </row>
    <row r="130" spans="1:7" ht="15" customHeight="1">
      <c r="A130" s="14"/>
      <c r="B130" s="15" t="s">
        <v>665</v>
      </c>
      <c r="C130" s="4">
        <f t="shared" si="1"/>
        <v>1000</v>
      </c>
      <c r="D130" s="4">
        <v>0</v>
      </c>
      <c r="E130" s="4">
        <v>0</v>
      </c>
      <c r="F130" s="4">
        <v>0</v>
      </c>
      <c r="G130" s="4">
        <f>425+575</f>
        <v>1000</v>
      </c>
    </row>
    <row r="131" spans="1:7" ht="15" customHeight="1">
      <c r="A131" s="14"/>
      <c r="B131" s="15" t="s">
        <v>521</v>
      </c>
      <c r="C131" s="4">
        <f t="shared" si="1"/>
        <v>1000</v>
      </c>
      <c r="D131" s="4">
        <v>0</v>
      </c>
      <c r="E131" s="4">
        <f>350+200</f>
        <v>550</v>
      </c>
      <c r="F131" s="4">
        <f>175+145</f>
        <v>320</v>
      </c>
      <c r="G131" s="4">
        <f>130</f>
        <v>130</v>
      </c>
    </row>
    <row r="132" spans="1:7" ht="15" customHeight="1">
      <c r="A132" s="14"/>
      <c r="B132" s="15" t="s">
        <v>106</v>
      </c>
      <c r="C132" s="4">
        <f t="shared" si="1"/>
        <v>990</v>
      </c>
      <c r="D132" s="4">
        <v>0</v>
      </c>
      <c r="E132" s="4">
        <v>0</v>
      </c>
      <c r="F132" s="4">
        <v>0</v>
      </c>
      <c r="G132" s="4">
        <f>200+300+175+115+200</f>
        <v>990</v>
      </c>
    </row>
    <row r="133" spans="1:7" ht="15" customHeight="1">
      <c r="A133" s="14"/>
      <c r="B133" s="15" t="s">
        <v>433</v>
      </c>
      <c r="C133" s="4">
        <f t="shared" si="1"/>
        <v>945</v>
      </c>
      <c r="D133" s="4">
        <f>130+225+200+145</f>
        <v>700</v>
      </c>
      <c r="E133" s="4">
        <f>115+130</f>
        <v>245</v>
      </c>
      <c r="F133" s="4">
        <v>0</v>
      </c>
      <c r="G133" s="4">
        <v>0</v>
      </c>
    </row>
    <row r="134" spans="1:7" ht="15" customHeight="1">
      <c r="A134" s="14"/>
      <c r="B134" s="15" t="s">
        <v>543</v>
      </c>
      <c r="C134" s="4">
        <f t="shared" si="1"/>
        <v>900</v>
      </c>
      <c r="D134" s="4">
        <v>0</v>
      </c>
      <c r="E134" s="4">
        <f>425+475</f>
        <v>900</v>
      </c>
      <c r="F134" s="4">
        <v>0</v>
      </c>
      <c r="G134" s="4">
        <v>0</v>
      </c>
    </row>
    <row r="135" spans="1:7" ht="15" customHeight="1">
      <c r="A135" s="14"/>
      <c r="B135" s="15" t="s">
        <v>554</v>
      </c>
      <c r="C135" s="4">
        <f t="shared" si="1"/>
        <v>900</v>
      </c>
      <c r="D135" s="4">
        <v>0</v>
      </c>
      <c r="E135" s="4">
        <f>475+425</f>
        <v>900</v>
      </c>
      <c r="F135" s="4">
        <v>0</v>
      </c>
      <c r="G135" s="4">
        <v>0</v>
      </c>
    </row>
    <row r="136" spans="1:7" ht="15" customHeight="1">
      <c r="A136" s="14"/>
      <c r="B136" s="15" t="s">
        <v>175</v>
      </c>
      <c r="C136" s="4">
        <f t="shared" si="1"/>
        <v>900</v>
      </c>
      <c r="D136" s="4">
        <v>0</v>
      </c>
      <c r="E136" s="4">
        <f>325</f>
        <v>325</v>
      </c>
      <c r="F136" s="4">
        <f>575</f>
        <v>575</v>
      </c>
      <c r="G136" s="4">
        <v>0</v>
      </c>
    </row>
    <row r="137" spans="1:7" ht="15" customHeight="1">
      <c r="A137" s="14"/>
      <c r="B137" s="15" t="s">
        <v>666</v>
      </c>
      <c r="C137" s="4">
        <f aca="true" t="shared" si="2" ref="C137:C200">D137+E137+F137+G137</f>
        <v>900</v>
      </c>
      <c r="D137" s="4">
        <v>0</v>
      </c>
      <c r="E137" s="4">
        <v>0</v>
      </c>
      <c r="F137" s="4">
        <v>0</v>
      </c>
      <c r="G137" s="4">
        <f>375+225+300</f>
        <v>900</v>
      </c>
    </row>
    <row r="138" spans="1:7" ht="15" customHeight="1">
      <c r="A138" s="14"/>
      <c r="B138" s="15" t="s">
        <v>423</v>
      </c>
      <c r="C138" s="4">
        <f t="shared" si="2"/>
        <v>900</v>
      </c>
      <c r="D138" s="4">
        <v>0</v>
      </c>
      <c r="E138" s="4">
        <f>375+325+200</f>
        <v>900</v>
      </c>
      <c r="F138" s="4">
        <v>0</v>
      </c>
      <c r="G138" s="4">
        <v>0</v>
      </c>
    </row>
    <row r="139" spans="1:7" ht="15" customHeight="1">
      <c r="A139" s="14"/>
      <c r="B139" s="15" t="s">
        <v>60</v>
      </c>
      <c r="C139" s="4">
        <f t="shared" si="2"/>
        <v>895</v>
      </c>
      <c r="D139" s="4">
        <v>0</v>
      </c>
      <c r="E139" s="4">
        <v>0</v>
      </c>
      <c r="F139" s="4">
        <f>145</f>
        <v>145</v>
      </c>
      <c r="G139" s="4">
        <f>575+175</f>
        <v>750</v>
      </c>
    </row>
    <row r="140" spans="1:7" ht="15" customHeight="1">
      <c r="A140" s="14"/>
      <c r="B140" s="15" t="s">
        <v>90</v>
      </c>
      <c r="C140" s="4">
        <f t="shared" si="2"/>
        <v>880</v>
      </c>
      <c r="D140" s="4">
        <f>160+145</f>
        <v>305</v>
      </c>
      <c r="E140" s="4">
        <v>0</v>
      </c>
      <c r="F140" s="4">
        <v>0</v>
      </c>
      <c r="G140" s="4">
        <f>575</f>
        <v>575</v>
      </c>
    </row>
    <row r="141" spans="1:7" ht="15" customHeight="1">
      <c r="A141" s="14"/>
      <c r="B141" s="15" t="s">
        <v>567</v>
      </c>
      <c r="C141" s="4">
        <f t="shared" si="2"/>
        <v>875</v>
      </c>
      <c r="D141" s="4">
        <v>0</v>
      </c>
      <c r="E141" s="4">
        <f>325+225</f>
        <v>550</v>
      </c>
      <c r="F141" s="4">
        <v>0</v>
      </c>
      <c r="G141" s="4">
        <f>325</f>
        <v>325</v>
      </c>
    </row>
    <row r="142" spans="1:7" ht="15" customHeight="1">
      <c r="A142" s="14"/>
      <c r="B142" s="15" t="s">
        <v>526</v>
      </c>
      <c r="C142" s="4">
        <f t="shared" si="2"/>
        <v>875</v>
      </c>
      <c r="D142" s="4">
        <v>0</v>
      </c>
      <c r="E142" s="4">
        <f>275+250+350</f>
        <v>875</v>
      </c>
      <c r="F142" s="4">
        <v>0</v>
      </c>
      <c r="G142" s="4">
        <v>0</v>
      </c>
    </row>
    <row r="143" spans="1:7" ht="15" customHeight="1">
      <c r="A143" s="14"/>
      <c r="B143" s="15" t="s">
        <v>69</v>
      </c>
      <c r="C143" s="4">
        <f t="shared" si="2"/>
        <v>855</v>
      </c>
      <c r="D143" s="4">
        <v>0</v>
      </c>
      <c r="E143" s="4">
        <f>475</f>
        <v>475</v>
      </c>
      <c r="F143" s="4">
        <f>250+130</f>
        <v>380</v>
      </c>
      <c r="G143" s="4">
        <v>0</v>
      </c>
    </row>
    <row r="144" spans="1:7" ht="15" customHeight="1">
      <c r="A144" s="14"/>
      <c r="B144" s="15" t="s">
        <v>566</v>
      </c>
      <c r="C144" s="4">
        <f t="shared" si="2"/>
        <v>850</v>
      </c>
      <c r="D144" s="4">
        <v>0</v>
      </c>
      <c r="E144" s="4">
        <f>425</f>
        <v>425</v>
      </c>
      <c r="F144" s="4">
        <f>425</f>
        <v>425</v>
      </c>
      <c r="G144" s="4">
        <v>0</v>
      </c>
    </row>
    <row r="145" spans="1:7" ht="15" customHeight="1">
      <c r="A145" s="14"/>
      <c r="B145" s="15" t="s">
        <v>651</v>
      </c>
      <c r="C145" s="4">
        <f t="shared" si="2"/>
        <v>850</v>
      </c>
      <c r="D145" s="4">
        <v>0</v>
      </c>
      <c r="E145" s="4">
        <v>0</v>
      </c>
      <c r="F145" s="4">
        <v>0</v>
      </c>
      <c r="G145" s="4">
        <f>475+375</f>
        <v>850</v>
      </c>
    </row>
    <row r="146" spans="1:7" ht="15" customHeight="1">
      <c r="A146" s="14"/>
      <c r="B146" s="15" t="s">
        <v>181</v>
      </c>
      <c r="C146" s="4">
        <f t="shared" si="2"/>
        <v>835</v>
      </c>
      <c r="D146" s="4">
        <v>0</v>
      </c>
      <c r="E146" s="4">
        <f>425+160</f>
        <v>585</v>
      </c>
      <c r="F146" s="4">
        <f>250</f>
        <v>250</v>
      </c>
      <c r="G146" s="4">
        <v>0</v>
      </c>
    </row>
    <row r="147" spans="1:7" ht="15" customHeight="1">
      <c r="A147" s="14"/>
      <c r="B147" s="15" t="s">
        <v>581</v>
      </c>
      <c r="C147" s="4">
        <f t="shared" si="2"/>
        <v>825</v>
      </c>
      <c r="D147" s="4">
        <v>0</v>
      </c>
      <c r="E147" s="4">
        <v>0</v>
      </c>
      <c r="F147" s="4">
        <f>130+145</f>
        <v>275</v>
      </c>
      <c r="G147" s="4">
        <f>200+350</f>
        <v>550</v>
      </c>
    </row>
    <row r="148" spans="1:7" ht="15" customHeight="1">
      <c r="A148" s="14"/>
      <c r="B148" s="15" t="s">
        <v>622</v>
      </c>
      <c r="C148" s="4">
        <f t="shared" si="2"/>
        <v>825</v>
      </c>
      <c r="D148" s="4">
        <v>0</v>
      </c>
      <c r="E148" s="4">
        <f>350</f>
        <v>350</v>
      </c>
      <c r="F148" s="4">
        <f>200+275</f>
        <v>475</v>
      </c>
      <c r="G148" s="4">
        <v>0</v>
      </c>
    </row>
    <row r="149" spans="1:7" ht="15" customHeight="1">
      <c r="A149" s="14"/>
      <c r="B149" s="15" t="s">
        <v>445</v>
      </c>
      <c r="C149" s="4">
        <f t="shared" si="2"/>
        <v>825</v>
      </c>
      <c r="D149" s="4">
        <f>350</f>
        <v>350</v>
      </c>
      <c r="E149" s="4">
        <f>475</f>
        <v>475</v>
      </c>
      <c r="F149" s="4">
        <v>0</v>
      </c>
      <c r="G149" s="4">
        <v>0</v>
      </c>
    </row>
    <row r="150" spans="1:7" ht="15" customHeight="1">
      <c r="A150" s="14"/>
      <c r="B150" s="15" t="s">
        <v>525</v>
      </c>
      <c r="C150" s="4">
        <f t="shared" si="2"/>
        <v>825</v>
      </c>
      <c r="D150" s="4">
        <v>0</v>
      </c>
      <c r="E150" s="4">
        <f>350+475</f>
        <v>825</v>
      </c>
      <c r="F150" s="4">
        <v>0</v>
      </c>
      <c r="G150" s="4">
        <v>0</v>
      </c>
    </row>
    <row r="151" spans="1:7" ht="15" customHeight="1">
      <c r="A151" s="14"/>
      <c r="B151" s="15" t="s">
        <v>608</v>
      </c>
      <c r="C151" s="4">
        <f t="shared" si="2"/>
        <v>800</v>
      </c>
      <c r="D151" s="4">
        <v>0</v>
      </c>
      <c r="E151" s="4">
        <v>0</v>
      </c>
      <c r="F151" s="4">
        <f>225+275</f>
        <v>500</v>
      </c>
      <c r="G151" s="4">
        <f>300</f>
        <v>300</v>
      </c>
    </row>
    <row r="152" spans="1:7" ht="15" customHeight="1">
      <c r="A152" s="14"/>
      <c r="B152" s="15" t="s">
        <v>667</v>
      </c>
      <c r="C152" s="4">
        <f t="shared" si="2"/>
        <v>790</v>
      </c>
      <c r="D152" s="4">
        <v>0</v>
      </c>
      <c r="E152" s="4">
        <v>0</v>
      </c>
      <c r="F152" s="4">
        <v>0</v>
      </c>
      <c r="G152" s="4">
        <f>250+115+425</f>
        <v>790</v>
      </c>
    </row>
    <row r="153" spans="1:7" ht="15" customHeight="1">
      <c r="A153" s="14"/>
      <c r="B153" s="15" t="s">
        <v>671</v>
      </c>
      <c r="C153" s="4">
        <f t="shared" si="2"/>
        <v>775</v>
      </c>
      <c r="D153" s="4">
        <v>0</v>
      </c>
      <c r="E153" s="4">
        <v>0</v>
      </c>
      <c r="F153" s="4">
        <v>0</v>
      </c>
      <c r="G153" s="4">
        <f>300+475</f>
        <v>775</v>
      </c>
    </row>
    <row r="154" spans="1:7" ht="15" customHeight="1">
      <c r="A154" s="14"/>
      <c r="B154" s="15" t="s">
        <v>680</v>
      </c>
      <c r="C154" s="4">
        <f t="shared" si="2"/>
        <v>775</v>
      </c>
      <c r="D154" s="4">
        <v>0</v>
      </c>
      <c r="E154" s="4">
        <v>0</v>
      </c>
      <c r="F154" s="4">
        <v>0</v>
      </c>
      <c r="G154" s="4">
        <f>475+300</f>
        <v>775</v>
      </c>
    </row>
    <row r="155" spans="1:7" ht="15" customHeight="1">
      <c r="A155" s="14"/>
      <c r="B155" s="15" t="s">
        <v>491</v>
      </c>
      <c r="C155" s="4">
        <f t="shared" si="2"/>
        <v>775</v>
      </c>
      <c r="D155" s="4">
        <f>475</f>
        <v>475</v>
      </c>
      <c r="E155" s="4">
        <v>0</v>
      </c>
      <c r="F155" s="4">
        <v>0</v>
      </c>
      <c r="G155" s="4">
        <f>300</f>
        <v>300</v>
      </c>
    </row>
    <row r="156" spans="1:7" ht="15" customHeight="1">
      <c r="A156" s="14"/>
      <c r="B156" s="15" t="s">
        <v>496</v>
      </c>
      <c r="C156" s="4">
        <f t="shared" si="2"/>
        <v>760</v>
      </c>
      <c r="D156" s="4">
        <f>160</f>
        <v>160</v>
      </c>
      <c r="E156" s="4">
        <f>250+350</f>
        <v>600</v>
      </c>
      <c r="F156" s="4">
        <v>0</v>
      </c>
      <c r="G156" s="4">
        <v>0</v>
      </c>
    </row>
    <row r="157" spans="1:7" ht="15" customHeight="1">
      <c r="A157" s="14"/>
      <c r="B157" s="15" t="s">
        <v>484</v>
      </c>
      <c r="C157" s="4">
        <f t="shared" si="2"/>
        <v>750</v>
      </c>
      <c r="D157" s="4">
        <f>375</f>
        <v>375</v>
      </c>
      <c r="E157" s="4">
        <f>375</f>
        <v>375</v>
      </c>
      <c r="F157" s="4">
        <v>0</v>
      </c>
      <c r="G157" s="4">
        <v>0</v>
      </c>
    </row>
    <row r="158" spans="1:7" ht="15" customHeight="1">
      <c r="A158" s="14"/>
      <c r="B158" s="15" t="s">
        <v>501</v>
      </c>
      <c r="C158" s="4">
        <f t="shared" si="2"/>
        <v>725</v>
      </c>
      <c r="D158" s="4">
        <v>375</v>
      </c>
      <c r="E158" s="4">
        <v>0</v>
      </c>
      <c r="F158" s="4">
        <f>350</f>
        <v>350</v>
      </c>
      <c r="G158" s="4">
        <v>0</v>
      </c>
    </row>
    <row r="159" spans="1:7" ht="15" customHeight="1">
      <c r="A159" s="14"/>
      <c r="B159" s="15" t="s">
        <v>563</v>
      </c>
      <c r="C159" s="4">
        <f t="shared" si="2"/>
        <v>725</v>
      </c>
      <c r="D159" s="4">
        <v>0</v>
      </c>
      <c r="E159" s="4">
        <f>425</f>
        <v>425</v>
      </c>
      <c r="F159" s="4">
        <f>300</f>
        <v>300</v>
      </c>
      <c r="G159" s="4">
        <v>0</v>
      </c>
    </row>
    <row r="160" spans="1:7" ht="15" customHeight="1">
      <c r="A160" s="14"/>
      <c r="B160" s="15" t="s">
        <v>530</v>
      </c>
      <c r="C160" s="4">
        <f t="shared" si="2"/>
        <v>720</v>
      </c>
      <c r="D160" s="4">
        <v>0</v>
      </c>
      <c r="E160" s="4">
        <f>145</f>
        <v>145</v>
      </c>
      <c r="F160" s="4">
        <f>575</f>
        <v>575</v>
      </c>
      <c r="G160" s="4">
        <v>0</v>
      </c>
    </row>
    <row r="161" spans="1:7" ht="15" customHeight="1">
      <c r="A161" s="14"/>
      <c r="B161" s="15" t="s">
        <v>534</v>
      </c>
      <c r="C161" s="4">
        <f t="shared" si="2"/>
        <v>715</v>
      </c>
      <c r="D161" s="4">
        <v>0</v>
      </c>
      <c r="E161" s="4">
        <f>160+425</f>
        <v>585</v>
      </c>
      <c r="F161" s="4">
        <f>130</f>
        <v>130</v>
      </c>
      <c r="G161" s="4">
        <v>0</v>
      </c>
    </row>
    <row r="162" spans="1:7" ht="15" customHeight="1">
      <c r="A162" s="14"/>
      <c r="B162" s="15" t="s">
        <v>664</v>
      </c>
      <c r="C162" s="4">
        <f t="shared" si="2"/>
        <v>705</v>
      </c>
      <c r="D162" s="4">
        <v>0</v>
      </c>
      <c r="E162" s="4">
        <v>0</v>
      </c>
      <c r="F162" s="4">
        <v>0</v>
      </c>
      <c r="G162" s="4">
        <f>575+130</f>
        <v>705</v>
      </c>
    </row>
    <row r="163" spans="1:7" ht="15" customHeight="1">
      <c r="A163" s="14"/>
      <c r="B163" s="15" t="s">
        <v>301</v>
      </c>
      <c r="C163" s="4">
        <f t="shared" si="2"/>
        <v>700</v>
      </c>
      <c r="D163" s="4">
        <v>0</v>
      </c>
      <c r="E163" s="4">
        <v>0</v>
      </c>
      <c r="F163" s="4">
        <v>0</v>
      </c>
      <c r="G163" s="4">
        <f>225+475</f>
        <v>700</v>
      </c>
    </row>
    <row r="164" spans="1:7" ht="15" customHeight="1">
      <c r="A164" s="14"/>
      <c r="B164" s="15" t="s">
        <v>590</v>
      </c>
      <c r="C164" s="4">
        <f t="shared" si="2"/>
        <v>700</v>
      </c>
      <c r="D164" s="4">
        <v>0</v>
      </c>
      <c r="E164" s="4">
        <v>0</v>
      </c>
      <c r="F164" s="4">
        <f>375</f>
        <v>375</v>
      </c>
      <c r="G164" s="4">
        <f>325</f>
        <v>325</v>
      </c>
    </row>
    <row r="165" spans="1:7" ht="15" customHeight="1">
      <c r="A165" s="14"/>
      <c r="B165" s="15" t="s">
        <v>462</v>
      </c>
      <c r="C165" s="4">
        <f t="shared" si="2"/>
        <v>695</v>
      </c>
      <c r="D165" s="4">
        <f>145+350</f>
        <v>495</v>
      </c>
      <c r="E165" s="4">
        <f>200</f>
        <v>200</v>
      </c>
      <c r="F165" s="4">
        <v>0</v>
      </c>
      <c r="G165" s="4">
        <v>0</v>
      </c>
    </row>
    <row r="166" spans="1:7" ht="15" customHeight="1">
      <c r="A166" s="14"/>
      <c r="B166" s="14" t="s">
        <v>517</v>
      </c>
      <c r="C166" s="4">
        <f t="shared" si="2"/>
        <v>685</v>
      </c>
      <c r="D166" s="4">
        <v>0</v>
      </c>
      <c r="E166" s="4">
        <f>160+225</f>
        <v>385</v>
      </c>
      <c r="F166" s="4">
        <f>300</f>
        <v>300</v>
      </c>
      <c r="G166" s="4">
        <v>0</v>
      </c>
    </row>
    <row r="167" spans="1:7" ht="15" customHeight="1">
      <c r="A167" s="14"/>
      <c r="B167" s="15" t="s">
        <v>542</v>
      </c>
      <c r="C167" s="4">
        <f t="shared" si="2"/>
        <v>680</v>
      </c>
      <c r="D167" s="4">
        <v>0</v>
      </c>
      <c r="E167" s="4">
        <f>130+325</f>
        <v>455</v>
      </c>
      <c r="F167" s="4">
        <f>225</f>
        <v>225</v>
      </c>
      <c r="G167" s="4">
        <v>0</v>
      </c>
    </row>
    <row r="168" spans="1:7" ht="15" customHeight="1">
      <c r="A168" s="14"/>
      <c r="B168" s="15" t="s">
        <v>296</v>
      </c>
      <c r="C168" s="4">
        <f t="shared" si="2"/>
        <v>675</v>
      </c>
      <c r="D168" s="4">
        <f>375</f>
        <v>375</v>
      </c>
      <c r="E168" s="4">
        <f>300</f>
        <v>300</v>
      </c>
      <c r="F168" s="4">
        <v>0</v>
      </c>
      <c r="G168" s="4">
        <v>0</v>
      </c>
    </row>
    <row r="169" spans="1:7" ht="15" customHeight="1">
      <c r="A169" s="14"/>
      <c r="B169" s="15" t="s">
        <v>342</v>
      </c>
      <c r="C169" s="4">
        <f t="shared" si="2"/>
        <v>675</v>
      </c>
      <c r="D169" s="4">
        <f>300</f>
        <v>300</v>
      </c>
      <c r="E169" s="4">
        <f>375</f>
        <v>375</v>
      </c>
      <c r="F169" s="4">
        <v>0</v>
      </c>
      <c r="G169" s="4">
        <v>0</v>
      </c>
    </row>
    <row r="170" spans="1:7" ht="15" customHeight="1">
      <c r="A170" s="14"/>
      <c r="B170" s="15" t="s">
        <v>549</v>
      </c>
      <c r="C170" s="4">
        <f t="shared" si="2"/>
        <v>675</v>
      </c>
      <c r="D170" s="4">
        <v>0</v>
      </c>
      <c r="E170" s="4">
        <f>350+325</f>
        <v>675</v>
      </c>
      <c r="F170" s="4">
        <v>0</v>
      </c>
      <c r="G170" s="4">
        <v>0</v>
      </c>
    </row>
    <row r="171" spans="1:7" ht="15" customHeight="1">
      <c r="A171" s="14"/>
      <c r="B171" s="15" t="s">
        <v>397</v>
      </c>
      <c r="C171" s="4">
        <f t="shared" si="2"/>
        <v>655</v>
      </c>
      <c r="D171" s="4">
        <f>250+130+275</f>
        <v>655</v>
      </c>
      <c r="E171" s="4">
        <v>0</v>
      </c>
      <c r="F171" s="4">
        <v>0</v>
      </c>
      <c r="G171" s="4">
        <v>0</v>
      </c>
    </row>
    <row r="172" spans="1:7" ht="15" customHeight="1">
      <c r="A172" s="14"/>
      <c r="B172" s="15" t="s">
        <v>475</v>
      </c>
      <c r="C172" s="4">
        <f t="shared" si="2"/>
        <v>655</v>
      </c>
      <c r="D172" s="4">
        <f>130+325+200</f>
        <v>655</v>
      </c>
      <c r="E172" s="4">
        <v>0</v>
      </c>
      <c r="F172" s="4">
        <v>0</v>
      </c>
      <c r="G172" s="4">
        <v>0</v>
      </c>
    </row>
    <row r="173" spans="1:7" ht="15" customHeight="1">
      <c r="A173" s="14"/>
      <c r="B173" s="14" t="s">
        <v>292</v>
      </c>
      <c r="C173" s="4">
        <f t="shared" si="2"/>
        <v>650</v>
      </c>
      <c r="D173" s="4">
        <v>0</v>
      </c>
      <c r="E173" s="4">
        <f>275+375</f>
        <v>650</v>
      </c>
      <c r="F173" s="4">
        <v>0</v>
      </c>
      <c r="G173" s="4">
        <v>0</v>
      </c>
    </row>
    <row r="174" spans="1:7" ht="15" customHeight="1">
      <c r="A174" s="14"/>
      <c r="B174" s="15" t="s">
        <v>82</v>
      </c>
      <c r="C174" s="4">
        <f t="shared" si="2"/>
        <v>650</v>
      </c>
      <c r="D174" s="4">
        <f>475+175</f>
        <v>650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17</v>
      </c>
      <c r="C175" s="4">
        <f t="shared" si="2"/>
        <v>650</v>
      </c>
      <c r="D175" s="4">
        <v>0</v>
      </c>
      <c r="E175" s="4">
        <f>275</f>
        <v>275</v>
      </c>
      <c r="F175" s="4">
        <f>375</f>
        <v>375</v>
      </c>
      <c r="G175" s="4">
        <v>0</v>
      </c>
    </row>
    <row r="176" spans="1:7" ht="15" customHeight="1">
      <c r="A176" s="14"/>
      <c r="B176" s="15" t="s">
        <v>533</v>
      </c>
      <c r="C176" s="4">
        <f t="shared" si="2"/>
        <v>625</v>
      </c>
      <c r="D176" s="4">
        <v>0</v>
      </c>
      <c r="E176" s="4">
        <f>325+300</f>
        <v>625</v>
      </c>
      <c r="F176" s="4">
        <v>0</v>
      </c>
      <c r="G176" s="4">
        <v>0</v>
      </c>
    </row>
    <row r="177" spans="1:7" ht="15" customHeight="1">
      <c r="A177" s="14"/>
      <c r="B177" s="15" t="s">
        <v>272</v>
      </c>
      <c r="C177" s="4">
        <f t="shared" si="2"/>
        <v>625</v>
      </c>
      <c r="D177" s="4">
        <v>0</v>
      </c>
      <c r="E177" s="4">
        <f>300</f>
        <v>300</v>
      </c>
      <c r="F177" s="4">
        <f>325</f>
        <v>325</v>
      </c>
      <c r="G177" s="4">
        <v>0</v>
      </c>
    </row>
    <row r="178" spans="1:7" ht="15" customHeight="1">
      <c r="A178" s="14"/>
      <c r="B178" s="15" t="s">
        <v>662</v>
      </c>
      <c r="C178" s="4">
        <f t="shared" si="2"/>
        <v>625</v>
      </c>
      <c r="D178" s="4">
        <v>0</v>
      </c>
      <c r="E178" s="4">
        <v>0</v>
      </c>
      <c r="F178" s="4">
        <v>0</v>
      </c>
      <c r="G178" s="4">
        <f>425+200</f>
        <v>625</v>
      </c>
    </row>
    <row r="179" spans="1:7" ht="15" customHeight="1">
      <c r="A179" s="14"/>
      <c r="B179" s="15" t="s">
        <v>395</v>
      </c>
      <c r="C179" s="4">
        <f t="shared" si="2"/>
        <v>615</v>
      </c>
      <c r="D179" s="4">
        <f>200+115</f>
        <v>315</v>
      </c>
      <c r="E179" s="4">
        <f>300</f>
        <v>300</v>
      </c>
      <c r="F179" s="4">
        <v>0</v>
      </c>
      <c r="G179" s="4">
        <v>0</v>
      </c>
    </row>
    <row r="180" spans="1:7" ht="15" customHeight="1">
      <c r="A180" s="14"/>
      <c r="B180" s="15" t="s">
        <v>553</v>
      </c>
      <c r="C180" s="4">
        <f t="shared" si="2"/>
        <v>615</v>
      </c>
      <c r="D180" s="4">
        <v>0</v>
      </c>
      <c r="E180" s="4">
        <f>175+325</f>
        <v>500</v>
      </c>
      <c r="F180" s="4">
        <f>115</f>
        <v>115</v>
      </c>
      <c r="G180" s="4">
        <v>0</v>
      </c>
    </row>
    <row r="181" spans="1:7" ht="15" customHeight="1">
      <c r="A181" s="14"/>
      <c r="B181" s="15" t="s">
        <v>539</v>
      </c>
      <c r="C181" s="4">
        <f t="shared" si="2"/>
        <v>600</v>
      </c>
      <c r="D181" s="4">
        <v>0</v>
      </c>
      <c r="E181" s="4">
        <f>300+300</f>
        <v>600</v>
      </c>
      <c r="F181" s="4">
        <v>0</v>
      </c>
      <c r="G181" s="4">
        <v>0</v>
      </c>
    </row>
    <row r="182" spans="1:7" ht="15" customHeight="1">
      <c r="A182" s="14"/>
      <c r="B182" s="15" t="s">
        <v>12</v>
      </c>
      <c r="C182" s="4">
        <f t="shared" si="2"/>
        <v>600</v>
      </c>
      <c r="D182" s="4">
        <f>325</f>
        <v>325</v>
      </c>
      <c r="E182" s="4">
        <v>0</v>
      </c>
      <c r="F182" s="4">
        <v>0</v>
      </c>
      <c r="G182" s="4">
        <f>275</f>
        <v>275</v>
      </c>
    </row>
    <row r="183" spans="1:7" ht="15" customHeight="1">
      <c r="A183" s="14"/>
      <c r="B183" s="15" t="s">
        <v>612</v>
      </c>
      <c r="C183" s="4">
        <f t="shared" si="2"/>
        <v>590</v>
      </c>
      <c r="D183" s="4">
        <v>0</v>
      </c>
      <c r="E183" s="28">
        <v>0</v>
      </c>
      <c r="F183" s="4">
        <f>115+475</f>
        <v>590</v>
      </c>
      <c r="G183" s="4">
        <v>0</v>
      </c>
    </row>
    <row r="184" spans="1:7" ht="15" customHeight="1">
      <c r="A184" s="14"/>
      <c r="B184" s="15" t="s">
        <v>698</v>
      </c>
      <c r="C184" s="4">
        <f t="shared" si="2"/>
        <v>575</v>
      </c>
      <c r="D184" s="4">
        <v>0</v>
      </c>
      <c r="E184" s="4">
        <v>0</v>
      </c>
      <c r="F184" s="4">
        <v>0</v>
      </c>
      <c r="G184" s="4">
        <v>575</v>
      </c>
    </row>
    <row r="185" spans="1:7" ht="15" customHeight="1">
      <c r="A185" s="14"/>
      <c r="B185" s="15" t="s">
        <v>472</v>
      </c>
      <c r="C185" s="4">
        <f t="shared" si="2"/>
        <v>575</v>
      </c>
      <c r="D185" s="4">
        <f>575</f>
        <v>575</v>
      </c>
      <c r="E185" s="4">
        <v>0</v>
      </c>
      <c r="F185" s="4">
        <v>0</v>
      </c>
      <c r="G185" s="4">
        <v>0</v>
      </c>
    </row>
    <row r="186" spans="1:7" ht="15" customHeight="1">
      <c r="A186" s="14"/>
      <c r="B186" s="15" t="s">
        <v>572</v>
      </c>
      <c r="C186" s="4">
        <f t="shared" si="2"/>
        <v>575</v>
      </c>
      <c r="D186" s="4">
        <v>0</v>
      </c>
      <c r="E186" s="4">
        <f>575</f>
        <v>575</v>
      </c>
      <c r="F186" s="4">
        <v>0</v>
      </c>
      <c r="G186" s="4">
        <v>0</v>
      </c>
    </row>
    <row r="187" spans="1:7" ht="15" customHeight="1">
      <c r="A187" s="14"/>
      <c r="B187" s="15" t="s">
        <v>307</v>
      </c>
      <c r="C187" s="4">
        <f t="shared" si="2"/>
        <v>575</v>
      </c>
      <c r="D187" s="4">
        <v>0</v>
      </c>
      <c r="E187" s="4">
        <f>575</f>
        <v>575</v>
      </c>
      <c r="F187" s="4">
        <v>0</v>
      </c>
      <c r="G187" s="4">
        <v>0</v>
      </c>
    </row>
    <row r="188" spans="1:7" ht="15" customHeight="1">
      <c r="A188" s="14"/>
      <c r="B188" s="15" t="s">
        <v>416</v>
      </c>
      <c r="C188" s="4">
        <f t="shared" si="2"/>
        <v>575</v>
      </c>
      <c r="D188" s="4">
        <f>575</f>
        <v>575</v>
      </c>
      <c r="E188" s="4">
        <v>0</v>
      </c>
      <c r="F188" s="4">
        <v>0</v>
      </c>
      <c r="G188" s="4">
        <v>0</v>
      </c>
    </row>
    <row r="189" spans="1:7" ht="15" customHeight="1">
      <c r="A189" s="14"/>
      <c r="B189" s="15" t="s">
        <v>252</v>
      </c>
      <c r="C189" s="4">
        <f t="shared" si="2"/>
        <v>575</v>
      </c>
      <c r="D189" s="4">
        <v>0</v>
      </c>
      <c r="E189" s="4">
        <v>0</v>
      </c>
      <c r="F189" s="4">
        <f>375+200</f>
        <v>575</v>
      </c>
      <c r="G189" s="4">
        <v>0</v>
      </c>
    </row>
    <row r="190" spans="1:7" ht="15" customHeight="1">
      <c r="A190" s="14"/>
      <c r="B190" s="15" t="s">
        <v>213</v>
      </c>
      <c r="C190" s="4">
        <f t="shared" si="2"/>
        <v>575</v>
      </c>
      <c r="D190" s="4">
        <f>575</f>
        <v>575</v>
      </c>
      <c r="E190" s="4">
        <v>0</v>
      </c>
      <c r="F190" s="4">
        <v>0</v>
      </c>
      <c r="G190" s="4">
        <v>0</v>
      </c>
    </row>
    <row r="191" spans="1:7" ht="15" customHeight="1">
      <c r="A191" s="14"/>
      <c r="B191" s="15" t="s">
        <v>79</v>
      </c>
      <c r="C191" s="4">
        <f t="shared" si="2"/>
        <v>575</v>
      </c>
      <c r="D191" s="4">
        <f>575</f>
        <v>575</v>
      </c>
      <c r="E191" s="4">
        <v>0</v>
      </c>
      <c r="F191" s="4">
        <v>0</v>
      </c>
      <c r="G191" s="4">
        <v>0</v>
      </c>
    </row>
    <row r="192" spans="1:7" ht="15" customHeight="1">
      <c r="A192" s="14"/>
      <c r="B192" s="15" t="s">
        <v>687</v>
      </c>
      <c r="C192" s="4">
        <f t="shared" si="2"/>
        <v>575</v>
      </c>
      <c r="D192" s="4">
        <v>0</v>
      </c>
      <c r="E192" s="4">
        <v>0</v>
      </c>
      <c r="F192" s="4">
        <v>0</v>
      </c>
      <c r="G192" s="4">
        <v>575</v>
      </c>
    </row>
    <row r="193" spans="1:7" ht="15" customHeight="1">
      <c r="A193" s="14"/>
      <c r="B193" s="15" t="s">
        <v>488</v>
      </c>
      <c r="C193" s="4">
        <f t="shared" si="2"/>
        <v>555</v>
      </c>
      <c r="D193" s="4">
        <f>130+425</f>
        <v>555</v>
      </c>
      <c r="E193" s="4">
        <v>0</v>
      </c>
      <c r="F193" s="4">
        <v>0</v>
      </c>
      <c r="G193" s="4">
        <v>0</v>
      </c>
    </row>
    <row r="194" spans="1:7" ht="15" customHeight="1">
      <c r="A194" s="14"/>
      <c r="B194" s="15" t="s">
        <v>616</v>
      </c>
      <c r="C194" s="4">
        <f t="shared" si="2"/>
        <v>550</v>
      </c>
      <c r="D194" s="4">
        <v>0</v>
      </c>
      <c r="E194" s="4">
        <v>0</v>
      </c>
      <c r="F194" s="4">
        <f>225</f>
        <v>225</v>
      </c>
      <c r="G194" s="4">
        <f>325</f>
        <v>325</v>
      </c>
    </row>
    <row r="195" spans="1:7" ht="15" customHeight="1">
      <c r="A195" s="14"/>
      <c r="B195" s="15" t="s">
        <v>519</v>
      </c>
      <c r="C195" s="4">
        <f t="shared" si="2"/>
        <v>550</v>
      </c>
      <c r="D195" s="4">
        <v>0</v>
      </c>
      <c r="E195" s="4">
        <f>275</f>
        <v>275</v>
      </c>
      <c r="F195" s="4">
        <v>0</v>
      </c>
      <c r="G195" s="4">
        <f>275</f>
        <v>275</v>
      </c>
    </row>
    <row r="196" spans="1:7" ht="15" customHeight="1">
      <c r="A196" s="14"/>
      <c r="B196" s="15" t="s">
        <v>632</v>
      </c>
      <c r="C196" s="4">
        <f t="shared" si="2"/>
        <v>550</v>
      </c>
      <c r="D196" s="4">
        <v>0</v>
      </c>
      <c r="E196" s="4">
        <v>0</v>
      </c>
      <c r="F196" s="4">
        <f>115+160+275</f>
        <v>550</v>
      </c>
      <c r="G196" s="4">
        <v>0</v>
      </c>
    </row>
    <row r="197" spans="1:7" ht="15" customHeight="1">
      <c r="A197" s="14"/>
      <c r="B197" s="15" t="s">
        <v>474</v>
      </c>
      <c r="C197" s="4">
        <f t="shared" si="2"/>
        <v>535</v>
      </c>
      <c r="D197" s="4">
        <f>160</f>
        <v>160</v>
      </c>
      <c r="E197" s="4">
        <f>375</f>
        <v>375</v>
      </c>
      <c r="F197" s="4">
        <v>0</v>
      </c>
      <c r="G197" s="4">
        <v>0</v>
      </c>
    </row>
    <row r="198" spans="1:7" ht="15" customHeight="1">
      <c r="A198" s="14"/>
      <c r="B198" s="15" t="s">
        <v>565</v>
      </c>
      <c r="C198" s="4">
        <f t="shared" si="2"/>
        <v>520</v>
      </c>
      <c r="D198" s="4">
        <v>0</v>
      </c>
      <c r="E198" s="4">
        <f>145</f>
        <v>145</v>
      </c>
      <c r="F198" s="4">
        <f>375</f>
        <v>375</v>
      </c>
      <c r="G198" s="4">
        <v>0</v>
      </c>
    </row>
    <row r="199" spans="1:7" ht="15" customHeight="1">
      <c r="A199" s="14"/>
      <c r="B199" s="15" t="s">
        <v>389</v>
      </c>
      <c r="C199" s="4">
        <f t="shared" si="2"/>
        <v>510</v>
      </c>
      <c r="D199" s="4">
        <f>115+145</f>
        <v>260</v>
      </c>
      <c r="E199" s="4">
        <f>250</f>
        <v>250</v>
      </c>
      <c r="F199" s="4">
        <v>0</v>
      </c>
      <c r="G199" s="4">
        <v>0</v>
      </c>
    </row>
    <row r="200" spans="1:7" ht="15" customHeight="1">
      <c r="A200" s="14"/>
      <c r="B200" s="15" t="s">
        <v>577</v>
      </c>
      <c r="C200" s="4">
        <f t="shared" si="2"/>
        <v>500</v>
      </c>
      <c r="D200" s="4">
        <v>0</v>
      </c>
      <c r="E200" s="4">
        <f>175</f>
        <v>175</v>
      </c>
      <c r="F200" s="4">
        <v>0</v>
      </c>
      <c r="G200" s="4">
        <f>325</f>
        <v>325</v>
      </c>
    </row>
    <row r="201" spans="1:9" ht="15" customHeight="1">
      <c r="A201" s="14"/>
      <c r="B201" s="15" t="s">
        <v>647</v>
      </c>
      <c r="C201" s="4">
        <f aca="true" t="shared" si="3" ref="C201:C264">D201+E201+F201+G201</f>
        <v>500</v>
      </c>
      <c r="D201" s="4">
        <v>0</v>
      </c>
      <c r="E201" s="4">
        <v>0</v>
      </c>
      <c r="F201" s="4">
        <f>275</f>
        <v>275</v>
      </c>
      <c r="G201" s="4">
        <f>225</f>
        <v>225</v>
      </c>
      <c r="H201" s="3"/>
      <c r="I201" s="3"/>
    </row>
    <row r="202" spans="1:9" ht="15" customHeight="1">
      <c r="A202" s="14"/>
      <c r="B202" s="15" t="s">
        <v>614</v>
      </c>
      <c r="C202" s="4">
        <f t="shared" si="3"/>
        <v>500</v>
      </c>
      <c r="D202" s="4">
        <v>0</v>
      </c>
      <c r="E202" s="4">
        <v>0</v>
      </c>
      <c r="F202" s="4">
        <f>300</f>
        <v>300</v>
      </c>
      <c r="G202" s="4">
        <f>200</f>
        <v>200</v>
      </c>
      <c r="H202" s="3"/>
      <c r="I202" s="3"/>
    </row>
    <row r="203" spans="1:9" ht="15" customHeight="1">
      <c r="A203" s="14"/>
      <c r="B203" s="15" t="s">
        <v>618</v>
      </c>
      <c r="C203" s="4">
        <f t="shared" si="3"/>
        <v>490</v>
      </c>
      <c r="D203" s="4">
        <v>0</v>
      </c>
      <c r="E203" s="4">
        <v>0</v>
      </c>
      <c r="F203" s="4">
        <f>375+115</f>
        <v>490</v>
      </c>
      <c r="G203" s="4">
        <v>0</v>
      </c>
      <c r="H203" s="3"/>
      <c r="I203" s="3"/>
    </row>
    <row r="204" spans="1:9" ht="15" customHeight="1">
      <c r="A204" s="14"/>
      <c r="B204" s="15" t="s">
        <v>688</v>
      </c>
      <c r="C204" s="4">
        <f t="shared" si="3"/>
        <v>475</v>
      </c>
      <c r="D204" s="4">
        <v>0</v>
      </c>
      <c r="E204" s="4">
        <v>0</v>
      </c>
      <c r="F204" s="4">
        <v>0</v>
      </c>
      <c r="G204" s="4">
        <v>475</v>
      </c>
      <c r="H204" s="3"/>
      <c r="I204" s="3"/>
    </row>
    <row r="205" spans="1:9" ht="15" customHeight="1">
      <c r="A205" s="14"/>
      <c r="B205" s="15" t="s">
        <v>536</v>
      </c>
      <c r="C205" s="4">
        <f t="shared" si="3"/>
        <v>475</v>
      </c>
      <c r="D205" s="4">
        <v>0</v>
      </c>
      <c r="E205" s="4">
        <f>475</f>
        <v>475</v>
      </c>
      <c r="F205" s="4">
        <v>0</v>
      </c>
      <c r="G205" s="4">
        <v>0</v>
      </c>
      <c r="H205" s="3"/>
      <c r="I205" s="3"/>
    </row>
    <row r="206" spans="1:9" ht="15" customHeight="1">
      <c r="A206" s="14"/>
      <c r="B206" s="14" t="s">
        <v>144</v>
      </c>
      <c r="C206" s="4">
        <f t="shared" si="3"/>
        <v>475</v>
      </c>
      <c r="D206" s="4">
        <v>0</v>
      </c>
      <c r="E206" s="4">
        <v>0</v>
      </c>
      <c r="F206" s="4">
        <v>0</v>
      </c>
      <c r="G206" s="4">
        <f>475</f>
        <v>475</v>
      </c>
      <c r="H206" s="3"/>
      <c r="I206" s="3"/>
    </row>
    <row r="207" spans="1:9" ht="15" customHeight="1">
      <c r="A207" s="14"/>
      <c r="B207" s="15" t="s">
        <v>598</v>
      </c>
      <c r="C207" s="4">
        <f t="shared" si="3"/>
        <v>475</v>
      </c>
      <c r="D207" s="4">
        <v>0</v>
      </c>
      <c r="E207" s="4">
        <v>0</v>
      </c>
      <c r="F207" s="4">
        <f>475</f>
        <v>475</v>
      </c>
      <c r="G207" s="4">
        <v>0</v>
      </c>
      <c r="H207" s="3"/>
      <c r="I207" s="3"/>
    </row>
    <row r="208" spans="1:9" ht="15" customHeight="1">
      <c r="A208" s="14"/>
      <c r="B208" s="15" t="s">
        <v>578</v>
      </c>
      <c r="C208" s="4">
        <f t="shared" si="3"/>
        <v>475</v>
      </c>
      <c r="D208" s="4">
        <v>0</v>
      </c>
      <c r="E208" s="4">
        <f>475</f>
        <v>475</v>
      </c>
      <c r="F208" s="4">
        <v>0</v>
      </c>
      <c r="G208" s="4">
        <v>0</v>
      </c>
      <c r="H208" s="3"/>
      <c r="I208" s="3"/>
    </row>
    <row r="209" spans="1:9" ht="15" customHeight="1">
      <c r="A209" s="14"/>
      <c r="B209" s="15" t="s">
        <v>561</v>
      </c>
      <c r="C209" s="4">
        <f t="shared" si="3"/>
        <v>475</v>
      </c>
      <c r="D209" s="4">
        <v>0</v>
      </c>
      <c r="E209" s="4">
        <f>475</f>
        <v>475</v>
      </c>
      <c r="F209" s="4">
        <v>0</v>
      </c>
      <c r="G209" s="4">
        <v>0</v>
      </c>
      <c r="H209" s="3"/>
      <c r="I209" s="3"/>
    </row>
    <row r="210" spans="1:9" ht="15" customHeight="1">
      <c r="A210" s="14"/>
      <c r="B210" s="15" t="s">
        <v>520</v>
      </c>
      <c r="C210" s="4">
        <f t="shared" si="3"/>
        <v>475</v>
      </c>
      <c r="D210" s="4">
        <v>0</v>
      </c>
      <c r="E210" s="4">
        <f>475</f>
        <v>475</v>
      </c>
      <c r="F210" s="4">
        <v>0</v>
      </c>
      <c r="G210" s="4">
        <v>0</v>
      </c>
      <c r="H210" s="3"/>
      <c r="I210" s="3"/>
    </row>
    <row r="211" spans="1:9" ht="15" customHeight="1">
      <c r="A211" s="14"/>
      <c r="B211" s="15" t="s">
        <v>456</v>
      </c>
      <c r="C211" s="4">
        <f t="shared" si="3"/>
        <v>475</v>
      </c>
      <c r="D211" s="4">
        <f>475</f>
        <v>475</v>
      </c>
      <c r="E211" s="4">
        <v>0</v>
      </c>
      <c r="F211" s="4">
        <v>0</v>
      </c>
      <c r="G211" s="4">
        <v>0</v>
      </c>
      <c r="H211" s="3"/>
      <c r="I211" s="3"/>
    </row>
    <row r="212" spans="1:9" ht="15" customHeight="1">
      <c r="A212" s="14"/>
      <c r="B212" s="15" t="s">
        <v>624</v>
      </c>
      <c r="C212" s="4">
        <f t="shared" si="3"/>
        <v>475</v>
      </c>
      <c r="D212" s="4">
        <v>0</v>
      </c>
      <c r="E212" s="4">
        <v>0</v>
      </c>
      <c r="F212" s="4">
        <f>475</f>
        <v>475</v>
      </c>
      <c r="G212" s="4">
        <v>0</v>
      </c>
      <c r="H212" s="3"/>
      <c r="I212" s="3"/>
    </row>
    <row r="213" spans="1:9" ht="15" customHeight="1">
      <c r="A213" s="14"/>
      <c r="B213" s="15" t="s">
        <v>652</v>
      </c>
      <c r="C213" s="4">
        <f t="shared" si="3"/>
        <v>465</v>
      </c>
      <c r="D213" s="4">
        <v>0</v>
      </c>
      <c r="E213" s="4">
        <v>0</v>
      </c>
      <c r="F213" s="4">
        <v>0</v>
      </c>
      <c r="G213" s="4">
        <f>115+350</f>
        <v>465</v>
      </c>
      <c r="H213" s="3"/>
      <c r="I213" s="3"/>
    </row>
    <row r="214" spans="1:9" ht="15" customHeight="1">
      <c r="A214" s="14"/>
      <c r="B214" s="15" t="s">
        <v>546</v>
      </c>
      <c r="C214" s="4">
        <f t="shared" si="3"/>
        <v>450</v>
      </c>
      <c r="D214" s="4">
        <v>0</v>
      </c>
      <c r="E214" s="4">
        <f>225</f>
        <v>225</v>
      </c>
      <c r="F214" s="4">
        <f>225</f>
        <v>225</v>
      </c>
      <c r="G214" s="4">
        <v>0</v>
      </c>
      <c r="H214" s="3"/>
      <c r="I214" s="3"/>
    </row>
    <row r="215" spans="1:9" ht="15" customHeight="1">
      <c r="A215" s="14"/>
      <c r="B215" s="15" t="s">
        <v>336</v>
      </c>
      <c r="C215" s="4">
        <f t="shared" si="3"/>
        <v>440</v>
      </c>
      <c r="D215" s="4">
        <v>0</v>
      </c>
      <c r="E215" s="4">
        <f>325</f>
        <v>325</v>
      </c>
      <c r="F215" s="4">
        <v>0</v>
      </c>
      <c r="G215" s="4">
        <f>115</f>
        <v>115</v>
      </c>
      <c r="H215" s="3"/>
      <c r="I215" s="3"/>
    </row>
    <row r="216" spans="1:9" ht="15" customHeight="1">
      <c r="A216" s="14"/>
      <c r="B216" s="15" t="s">
        <v>625</v>
      </c>
      <c r="C216" s="4">
        <f t="shared" si="3"/>
        <v>425</v>
      </c>
      <c r="D216" s="4">
        <v>0</v>
      </c>
      <c r="E216" s="4">
        <v>0</v>
      </c>
      <c r="F216" s="4">
        <f>425</f>
        <v>425</v>
      </c>
      <c r="G216" s="4">
        <v>0</v>
      </c>
      <c r="H216" s="3"/>
      <c r="I216" s="3"/>
    </row>
    <row r="217" spans="1:9" ht="15" customHeight="1">
      <c r="A217" s="14"/>
      <c r="B217" s="15" t="s">
        <v>587</v>
      </c>
      <c r="C217" s="4">
        <f t="shared" si="3"/>
        <v>425</v>
      </c>
      <c r="D217" s="4">
        <v>0</v>
      </c>
      <c r="E217" s="4">
        <v>0</v>
      </c>
      <c r="F217" s="4">
        <f>425</f>
        <v>425</v>
      </c>
      <c r="G217" s="4">
        <v>0</v>
      </c>
      <c r="H217" s="3"/>
      <c r="I217" s="3"/>
    </row>
    <row r="218" spans="1:9" ht="15" customHeight="1">
      <c r="A218" s="14"/>
      <c r="B218" s="15" t="s">
        <v>201</v>
      </c>
      <c r="C218" s="4">
        <f t="shared" si="3"/>
        <v>425</v>
      </c>
      <c r="D218" s="4">
        <f>425</f>
        <v>425</v>
      </c>
      <c r="E218" s="4">
        <v>0</v>
      </c>
      <c r="F218" s="4">
        <v>0</v>
      </c>
      <c r="G218" s="4">
        <v>0</v>
      </c>
      <c r="H218" s="3"/>
      <c r="I218" s="3"/>
    </row>
    <row r="219" spans="1:9" ht="15" customHeight="1">
      <c r="A219" s="14"/>
      <c r="B219" s="15" t="s">
        <v>599</v>
      </c>
      <c r="C219" s="4">
        <f t="shared" si="3"/>
        <v>425</v>
      </c>
      <c r="D219" s="4">
        <v>0</v>
      </c>
      <c r="E219" s="28">
        <v>0</v>
      </c>
      <c r="F219" s="4">
        <f>425</f>
        <v>425</v>
      </c>
      <c r="G219" s="4">
        <v>0</v>
      </c>
      <c r="H219" s="3"/>
      <c r="I219" s="3"/>
    </row>
    <row r="220" spans="1:9" ht="15" customHeight="1">
      <c r="A220" s="14"/>
      <c r="B220" s="15" t="s">
        <v>512</v>
      </c>
      <c r="C220" s="4">
        <f t="shared" si="3"/>
        <v>425</v>
      </c>
      <c r="D220" s="4">
        <v>0</v>
      </c>
      <c r="E220" s="4">
        <f>425</f>
        <v>425</v>
      </c>
      <c r="F220" s="4">
        <v>0</v>
      </c>
      <c r="G220" s="4">
        <v>0</v>
      </c>
      <c r="H220" s="3"/>
      <c r="I220" s="3"/>
    </row>
    <row r="221" spans="1:9" ht="15" customHeight="1">
      <c r="A221" s="14"/>
      <c r="B221" s="15" t="s">
        <v>681</v>
      </c>
      <c r="C221" s="4">
        <f t="shared" si="3"/>
        <v>425</v>
      </c>
      <c r="D221" s="4">
        <v>0</v>
      </c>
      <c r="E221" s="4">
        <v>0</v>
      </c>
      <c r="F221" s="4">
        <v>0</v>
      </c>
      <c r="G221" s="4">
        <f>425</f>
        <v>425</v>
      </c>
      <c r="H221" s="3"/>
      <c r="I221" s="3"/>
    </row>
    <row r="222" spans="1:9" ht="15" customHeight="1">
      <c r="A222" s="14"/>
      <c r="B222" s="15" t="s">
        <v>676</v>
      </c>
      <c r="C222" s="4">
        <f t="shared" si="3"/>
        <v>425</v>
      </c>
      <c r="D222" s="4">
        <v>0</v>
      </c>
      <c r="E222" s="4">
        <v>0</v>
      </c>
      <c r="F222" s="4">
        <v>0</v>
      </c>
      <c r="G222" s="4">
        <f>425</f>
        <v>425</v>
      </c>
      <c r="H222" s="3"/>
      <c r="I222" s="3"/>
    </row>
    <row r="223" spans="1:9" ht="15" customHeight="1">
      <c r="A223" s="14"/>
      <c r="B223" s="15" t="s">
        <v>278</v>
      </c>
      <c r="C223" s="4">
        <f t="shared" si="3"/>
        <v>425</v>
      </c>
      <c r="D223" s="4">
        <v>425</v>
      </c>
      <c r="E223" s="4">
        <v>0</v>
      </c>
      <c r="F223" s="4">
        <v>0</v>
      </c>
      <c r="G223" s="4">
        <v>0</v>
      </c>
      <c r="H223" s="3"/>
      <c r="I223" s="3"/>
    </row>
    <row r="224" spans="1:9" ht="15" customHeight="1">
      <c r="A224" s="14"/>
      <c r="B224" s="15" t="s">
        <v>268</v>
      </c>
      <c r="C224" s="4">
        <f t="shared" si="3"/>
        <v>425</v>
      </c>
      <c r="D224" s="4">
        <f>425</f>
        <v>425</v>
      </c>
      <c r="E224" s="4">
        <v>0</v>
      </c>
      <c r="F224" s="4">
        <v>0</v>
      </c>
      <c r="G224" s="4">
        <v>0</v>
      </c>
      <c r="H224" s="3"/>
      <c r="I224" s="3"/>
    </row>
    <row r="225" spans="1:9" ht="15" customHeight="1">
      <c r="A225" s="14"/>
      <c r="B225" s="14" t="s">
        <v>500</v>
      </c>
      <c r="C225" s="4">
        <f t="shared" si="3"/>
        <v>375</v>
      </c>
      <c r="D225" s="4">
        <f>375</f>
        <v>375</v>
      </c>
      <c r="E225" s="4">
        <v>0</v>
      </c>
      <c r="F225" s="4">
        <v>0</v>
      </c>
      <c r="G225" s="4">
        <v>0</v>
      </c>
      <c r="H225" s="3"/>
      <c r="I225" s="3"/>
    </row>
    <row r="226" spans="1:9" ht="15" customHeight="1">
      <c r="A226" s="14"/>
      <c r="B226" s="15" t="s">
        <v>453</v>
      </c>
      <c r="C226" s="4">
        <f t="shared" si="3"/>
        <v>375</v>
      </c>
      <c r="D226" s="4">
        <f>375</f>
        <v>375</v>
      </c>
      <c r="E226" s="4">
        <v>0</v>
      </c>
      <c r="F226" s="4">
        <v>0</v>
      </c>
      <c r="G226" s="4">
        <v>0</v>
      </c>
      <c r="H226" s="3"/>
      <c r="I226" s="3"/>
    </row>
    <row r="227" spans="1:9" ht="15" customHeight="1">
      <c r="A227" s="14"/>
      <c r="B227" s="15" t="s">
        <v>603</v>
      </c>
      <c r="C227" s="4">
        <f t="shared" si="3"/>
        <v>375</v>
      </c>
      <c r="D227" s="4">
        <v>0</v>
      </c>
      <c r="E227" s="4">
        <v>0</v>
      </c>
      <c r="F227" s="4">
        <f>375</f>
        <v>375</v>
      </c>
      <c r="G227" s="4">
        <v>0</v>
      </c>
      <c r="H227" s="3"/>
      <c r="I227" s="3"/>
    </row>
    <row r="228" spans="1:9" ht="15" customHeight="1">
      <c r="A228" s="14"/>
      <c r="B228" s="15" t="s">
        <v>463</v>
      </c>
      <c r="C228" s="4">
        <f t="shared" si="3"/>
        <v>375</v>
      </c>
      <c r="D228" s="4">
        <f>375</f>
        <v>375</v>
      </c>
      <c r="E228" s="4">
        <v>0</v>
      </c>
      <c r="F228" s="4">
        <v>0</v>
      </c>
      <c r="G228" s="4">
        <v>0</v>
      </c>
      <c r="H228" s="3"/>
      <c r="I228" s="3"/>
    </row>
    <row r="229" spans="1:9" ht="15" customHeight="1">
      <c r="A229" s="14"/>
      <c r="B229" s="15" t="s">
        <v>479</v>
      </c>
      <c r="C229" s="4">
        <f t="shared" si="3"/>
        <v>375</v>
      </c>
      <c r="D229" s="4">
        <f>375</f>
        <v>375</v>
      </c>
      <c r="E229" s="4">
        <v>0</v>
      </c>
      <c r="F229" s="4">
        <v>0</v>
      </c>
      <c r="G229" s="4">
        <v>0</v>
      </c>
      <c r="H229" s="3"/>
      <c r="I229" s="3"/>
    </row>
    <row r="230" spans="1:9" ht="15" customHeight="1">
      <c r="A230" s="14"/>
      <c r="B230" s="15" t="s">
        <v>636</v>
      </c>
      <c r="C230" s="4">
        <f t="shared" si="3"/>
        <v>375</v>
      </c>
      <c r="D230" s="4">
        <v>0</v>
      </c>
      <c r="E230" s="4">
        <v>0</v>
      </c>
      <c r="F230" s="4">
        <f>375</f>
        <v>375</v>
      </c>
      <c r="G230" s="4">
        <v>0</v>
      </c>
      <c r="H230" s="3"/>
      <c r="I230" s="3"/>
    </row>
    <row r="231" spans="1:9" ht="15" customHeight="1">
      <c r="A231" s="14"/>
      <c r="B231" s="15" t="s">
        <v>673</v>
      </c>
      <c r="C231" s="4">
        <f t="shared" si="3"/>
        <v>375</v>
      </c>
      <c r="D231" s="4">
        <v>0</v>
      </c>
      <c r="E231" s="4">
        <v>0</v>
      </c>
      <c r="F231" s="4">
        <v>0</v>
      </c>
      <c r="G231" s="4">
        <f>375</f>
        <v>375</v>
      </c>
      <c r="H231" s="3"/>
      <c r="I231" s="3"/>
    </row>
    <row r="232" spans="1:9" ht="15" customHeight="1">
      <c r="A232" s="14"/>
      <c r="B232" s="15" t="s">
        <v>649</v>
      </c>
      <c r="C232" s="4">
        <f t="shared" si="3"/>
        <v>350</v>
      </c>
      <c r="D232" s="4">
        <v>0</v>
      </c>
      <c r="E232" s="4">
        <v>0</v>
      </c>
      <c r="F232" s="4">
        <v>0</v>
      </c>
      <c r="G232" s="4">
        <f>350</f>
        <v>350</v>
      </c>
      <c r="H232" s="3"/>
      <c r="I232" s="3"/>
    </row>
    <row r="233" spans="1:9" ht="15" customHeight="1">
      <c r="A233" s="14"/>
      <c r="B233" s="15" t="s">
        <v>689</v>
      </c>
      <c r="C233" s="4">
        <f t="shared" si="3"/>
        <v>350</v>
      </c>
      <c r="D233" s="4">
        <v>0</v>
      </c>
      <c r="E233" s="4">
        <v>0</v>
      </c>
      <c r="F233" s="4">
        <v>0</v>
      </c>
      <c r="G233" s="4">
        <f>350</f>
        <v>350</v>
      </c>
      <c r="H233" s="3"/>
      <c r="I233" s="3"/>
    </row>
    <row r="234" spans="1:9" ht="15" customHeight="1">
      <c r="A234" s="14"/>
      <c r="B234" s="15" t="s">
        <v>630</v>
      </c>
      <c r="C234" s="4">
        <f t="shared" si="3"/>
        <v>350</v>
      </c>
      <c r="D234" s="4">
        <v>0</v>
      </c>
      <c r="E234" s="4">
        <v>0</v>
      </c>
      <c r="F234" s="4">
        <f>350</f>
        <v>350</v>
      </c>
      <c r="G234" s="4">
        <v>0</v>
      </c>
      <c r="H234" s="3"/>
      <c r="I234" s="3"/>
    </row>
    <row r="235" spans="1:9" ht="15" customHeight="1">
      <c r="A235" s="14"/>
      <c r="B235" s="15" t="s">
        <v>656</v>
      </c>
      <c r="C235" s="4">
        <f t="shared" si="3"/>
        <v>350</v>
      </c>
      <c r="D235" s="4">
        <v>0</v>
      </c>
      <c r="E235" s="4">
        <v>0</v>
      </c>
      <c r="F235" s="4">
        <v>0</v>
      </c>
      <c r="G235" s="4">
        <f>350</f>
        <v>350</v>
      </c>
      <c r="H235" s="3"/>
      <c r="I235" s="3"/>
    </row>
    <row r="236" spans="1:9" ht="15" customHeight="1">
      <c r="A236" s="14"/>
      <c r="B236" s="15" t="s">
        <v>626</v>
      </c>
      <c r="C236" s="4">
        <f t="shared" si="3"/>
        <v>350</v>
      </c>
      <c r="D236" s="4">
        <v>0</v>
      </c>
      <c r="E236" s="4">
        <v>0</v>
      </c>
      <c r="F236" s="4">
        <f>350</f>
        <v>350</v>
      </c>
      <c r="G236" s="4">
        <v>0</v>
      </c>
      <c r="H236" s="3"/>
      <c r="I236" s="3"/>
    </row>
    <row r="237" spans="1:9" ht="15" customHeight="1">
      <c r="A237" s="14"/>
      <c r="B237" s="15" t="s">
        <v>619</v>
      </c>
      <c r="C237" s="4">
        <f t="shared" si="3"/>
        <v>350</v>
      </c>
      <c r="D237" s="4">
        <v>0</v>
      </c>
      <c r="E237" s="4">
        <v>0</v>
      </c>
      <c r="F237" s="4">
        <f>350</f>
        <v>350</v>
      </c>
      <c r="G237" s="4">
        <v>0</v>
      </c>
      <c r="H237" s="3"/>
      <c r="I237" s="3"/>
    </row>
    <row r="238" spans="1:9" ht="15" customHeight="1">
      <c r="A238" s="14"/>
      <c r="B238" s="15" t="s">
        <v>489</v>
      </c>
      <c r="C238" s="4">
        <f t="shared" si="3"/>
        <v>350</v>
      </c>
      <c r="D238" s="4">
        <f>350</f>
        <v>350</v>
      </c>
      <c r="E238" s="4">
        <v>0</v>
      </c>
      <c r="F238" s="4">
        <v>0</v>
      </c>
      <c r="G238" s="4">
        <v>0</v>
      </c>
      <c r="H238" s="3"/>
      <c r="I238" s="3"/>
    </row>
    <row r="239" spans="1:9" ht="15" customHeight="1">
      <c r="A239" s="14"/>
      <c r="B239" s="15" t="s">
        <v>502</v>
      </c>
      <c r="C239" s="4">
        <f t="shared" si="3"/>
        <v>350</v>
      </c>
      <c r="D239" s="4">
        <v>350</v>
      </c>
      <c r="E239" s="4">
        <v>0</v>
      </c>
      <c r="F239" s="4">
        <v>0</v>
      </c>
      <c r="G239" s="4">
        <v>0</v>
      </c>
      <c r="H239" s="3"/>
      <c r="I239" s="3"/>
    </row>
    <row r="240" spans="1:9" ht="15" customHeight="1">
      <c r="A240" s="14"/>
      <c r="B240" s="15" t="s">
        <v>464</v>
      </c>
      <c r="C240" s="4">
        <f t="shared" si="3"/>
        <v>350</v>
      </c>
      <c r="D240" s="4">
        <f>350</f>
        <v>350</v>
      </c>
      <c r="E240" s="4">
        <v>0</v>
      </c>
      <c r="F240" s="4">
        <v>0</v>
      </c>
      <c r="G240" s="4">
        <v>0</v>
      </c>
      <c r="H240" s="3"/>
      <c r="I240" s="3"/>
    </row>
    <row r="241" spans="1:9" ht="15" customHeight="1">
      <c r="A241" s="14"/>
      <c r="B241" s="15" t="s">
        <v>518</v>
      </c>
      <c r="C241" s="4">
        <f t="shared" si="3"/>
        <v>350</v>
      </c>
      <c r="D241" s="4">
        <v>0</v>
      </c>
      <c r="E241" s="4">
        <f>350</f>
        <v>350</v>
      </c>
      <c r="F241" s="4">
        <v>0</v>
      </c>
      <c r="G241" s="4">
        <v>0</v>
      </c>
      <c r="H241" s="3"/>
      <c r="I241" s="3"/>
    </row>
    <row r="242" spans="1:9" ht="15" customHeight="1">
      <c r="A242" s="14"/>
      <c r="B242" s="15" t="s">
        <v>211</v>
      </c>
      <c r="C242" s="4">
        <f t="shared" si="3"/>
        <v>350</v>
      </c>
      <c r="D242" s="4">
        <f>350</f>
        <v>350</v>
      </c>
      <c r="E242" s="4">
        <v>0</v>
      </c>
      <c r="F242" s="4">
        <v>0</v>
      </c>
      <c r="G242" s="4">
        <v>0</v>
      </c>
      <c r="H242" s="3"/>
      <c r="I242" s="3"/>
    </row>
    <row r="243" spans="1:9" ht="15" customHeight="1">
      <c r="A243" s="14"/>
      <c r="B243" s="15" t="s">
        <v>573</v>
      </c>
      <c r="C243" s="4">
        <f t="shared" si="3"/>
        <v>350</v>
      </c>
      <c r="D243" s="4">
        <v>0</v>
      </c>
      <c r="E243" s="4">
        <f>350</f>
        <v>350</v>
      </c>
      <c r="F243" s="4">
        <v>0</v>
      </c>
      <c r="G243" s="4">
        <v>0</v>
      </c>
      <c r="H243" s="3"/>
      <c r="I243" s="3"/>
    </row>
    <row r="244" spans="1:9" ht="15" customHeight="1">
      <c r="A244" s="14"/>
      <c r="B244" s="15" t="s">
        <v>513</v>
      </c>
      <c r="C244" s="4">
        <f t="shared" si="3"/>
        <v>350</v>
      </c>
      <c r="D244" s="4">
        <v>0</v>
      </c>
      <c r="E244" s="4">
        <f>350</f>
        <v>350</v>
      </c>
      <c r="F244" s="4">
        <v>0</v>
      </c>
      <c r="G244" s="4">
        <v>0</v>
      </c>
      <c r="H244" s="3"/>
      <c r="I244" s="3"/>
    </row>
    <row r="245" spans="1:9" ht="15" customHeight="1">
      <c r="A245" s="14"/>
      <c r="B245" s="15" t="s">
        <v>644</v>
      </c>
      <c r="C245" s="4">
        <f t="shared" si="3"/>
        <v>335</v>
      </c>
      <c r="D245" s="4">
        <v>0</v>
      </c>
      <c r="E245" s="4">
        <v>0</v>
      </c>
      <c r="F245" s="4">
        <v>0</v>
      </c>
      <c r="G245" s="4">
        <f>175+160</f>
        <v>335</v>
      </c>
      <c r="H245" s="3"/>
      <c r="I245" s="3"/>
    </row>
    <row r="246" spans="1:9" ht="15" customHeight="1">
      <c r="A246" s="14"/>
      <c r="B246" s="15" t="s">
        <v>499</v>
      </c>
      <c r="C246" s="4">
        <f t="shared" si="3"/>
        <v>330</v>
      </c>
      <c r="D246" s="4">
        <f>130</f>
        <v>130</v>
      </c>
      <c r="E246" s="4">
        <f>200</f>
        <v>200</v>
      </c>
      <c r="F246" s="4">
        <v>0</v>
      </c>
      <c r="G246" s="4">
        <v>0</v>
      </c>
      <c r="H246" s="3"/>
      <c r="I246" s="3"/>
    </row>
    <row r="247" spans="1:9" ht="15" customHeight="1">
      <c r="A247" s="14"/>
      <c r="B247" s="15" t="s">
        <v>646</v>
      </c>
      <c r="C247" s="4">
        <f t="shared" si="3"/>
        <v>325</v>
      </c>
      <c r="D247" s="4">
        <v>0</v>
      </c>
      <c r="E247" s="4">
        <v>0</v>
      </c>
      <c r="F247" s="4">
        <f>325</f>
        <v>325</v>
      </c>
      <c r="G247" s="4">
        <v>0</v>
      </c>
      <c r="H247" s="3"/>
      <c r="I247" s="3"/>
    </row>
    <row r="248" spans="1:9" ht="15" customHeight="1">
      <c r="A248" s="14"/>
      <c r="B248" s="15" t="s">
        <v>699</v>
      </c>
      <c r="C248" s="4">
        <f t="shared" si="3"/>
        <v>325</v>
      </c>
      <c r="D248" s="4">
        <v>0</v>
      </c>
      <c r="E248" s="4">
        <v>0</v>
      </c>
      <c r="F248" s="4">
        <v>0</v>
      </c>
      <c r="G248" s="4">
        <f>325</f>
        <v>325</v>
      </c>
      <c r="H248" s="3"/>
      <c r="I248" s="3"/>
    </row>
    <row r="249" spans="1:9" ht="15" customHeight="1">
      <c r="A249" s="14"/>
      <c r="B249" s="15" t="s">
        <v>407</v>
      </c>
      <c r="C249" s="4">
        <f t="shared" si="3"/>
        <v>325</v>
      </c>
      <c r="D249" s="4">
        <v>0</v>
      </c>
      <c r="E249" s="4">
        <f>325</f>
        <v>325</v>
      </c>
      <c r="F249" s="4">
        <v>0</v>
      </c>
      <c r="G249" s="4">
        <v>0</v>
      </c>
      <c r="H249" s="3"/>
      <c r="I249" s="3"/>
    </row>
    <row r="250" spans="1:9" ht="15" customHeight="1">
      <c r="A250" s="14"/>
      <c r="B250" s="15" t="s">
        <v>675</v>
      </c>
      <c r="C250" s="4">
        <f t="shared" si="3"/>
        <v>325</v>
      </c>
      <c r="D250" s="4">
        <v>0</v>
      </c>
      <c r="E250" s="4">
        <v>0</v>
      </c>
      <c r="F250" s="4">
        <v>0</v>
      </c>
      <c r="G250" s="4">
        <f>325</f>
        <v>325</v>
      </c>
      <c r="H250" s="3"/>
      <c r="I250" s="3"/>
    </row>
    <row r="251" spans="1:9" ht="15" customHeight="1">
      <c r="A251" s="14"/>
      <c r="B251" s="15" t="s">
        <v>544</v>
      </c>
      <c r="C251" s="4">
        <f t="shared" si="3"/>
        <v>325</v>
      </c>
      <c r="D251" s="4">
        <v>0</v>
      </c>
      <c r="E251" s="4">
        <f>325</f>
        <v>325</v>
      </c>
      <c r="F251" s="4">
        <v>0</v>
      </c>
      <c r="G251" s="4">
        <v>0</v>
      </c>
      <c r="H251" s="3"/>
      <c r="I251" s="3"/>
    </row>
    <row r="252" spans="1:9" ht="15" customHeight="1">
      <c r="A252" s="14"/>
      <c r="B252" s="15" t="s">
        <v>198</v>
      </c>
      <c r="C252" s="4">
        <f t="shared" si="3"/>
        <v>325</v>
      </c>
      <c r="D252" s="4">
        <v>0</v>
      </c>
      <c r="E252" s="4">
        <f>325</f>
        <v>325</v>
      </c>
      <c r="F252" s="4">
        <v>0</v>
      </c>
      <c r="G252" s="4">
        <v>0</v>
      </c>
      <c r="H252" s="3"/>
      <c r="I252" s="3"/>
    </row>
    <row r="253" spans="1:9" ht="15" customHeight="1">
      <c r="A253" s="14"/>
      <c r="B253" s="15" t="s">
        <v>492</v>
      </c>
      <c r="C253" s="4">
        <f t="shared" si="3"/>
        <v>325</v>
      </c>
      <c r="D253" s="4">
        <f>325</f>
        <v>325</v>
      </c>
      <c r="E253" s="4">
        <v>0</v>
      </c>
      <c r="F253" s="4">
        <v>0</v>
      </c>
      <c r="G253" s="4">
        <v>0</v>
      </c>
      <c r="H253" s="3"/>
      <c r="I253" s="3"/>
    </row>
    <row r="254" spans="1:9" ht="15" customHeight="1">
      <c r="A254" s="14"/>
      <c r="B254" s="15" t="s">
        <v>686</v>
      </c>
      <c r="C254" s="4">
        <f t="shared" si="3"/>
        <v>325</v>
      </c>
      <c r="D254" s="4">
        <v>0</v>
      </c>
      <c r="E254" s="4">
        <v>0</v>
      </c>
      <c r="F254" s="4">
        <v>0</v>
      </c>
      <c r="G254" s="4">
        <f>325</f>
        <v>325</v>
      </c>
      <c r="H254" s="3"/>
      <c r="I254" s="3"/>
    </row>
    <row r="255" spans="1:9" ht="15" customHeight="1">
      <c r="A255" s="14"/>
      <c r="B255" s="15" t="s">
        <v>574</v>
      </c>
      <c r="C255" s="4">
        <f t="shared" si="3"/>
        <v>325</v>
      </c>
      <c r="D255" s="4">
        <v>0</v>
      </c>
      <c r="E255" s="4">
        <f>325</f>
        <v>325</v>
      </c>
      <c r="F255" s="4">
        <v>0</v>
      </c>
      <c r="G255" s="4">
        <v>0</v>
      </c>
      <c r="H255" s="3"/>
      <c r="I255" s="3"/>
    </row>
    <row r="256" spans="1:9" ht="15" customHeight="1">
      <c r="A256" s="14"/>
      <c r="B256" s="15" t="s">
        <v>559</v>
      </c>
      <c r="C256" s="4">
        <f t="shared" si="3"/>
        <v>325</v>
      </c>
      <c r="D256" s="4">
        <v>0</v>
      </c>
      <c r="E256" s="4">
        <f>325</f>
        <v>325</v>
      </c>
      <c r="F256" s="4">
        <v>0</v>
      </c>
      <c r="G256" s="4">
        <v>0</v>
      </c>
      <c r="H256" s="3"/>
      <c r="I256" s="3"/>
    </row>
    <row r="257" spans="1:9" ht="15" customHeight="1">
      <c r="A257" s="14"/>
      <c r="B257" s="15" t="s">
        <v>473</v>
      </c>
      <c r="C257" s="4">
        <f t="shared" si="3"/>
        <v>325</v>
      </c>
      <c r="D257" s="4">
        <f>325</f>
        <v>325</v>
      </c>
      <c r="E257" s="4">
        <v>0</v>
      </c>
      <c r="F257" s="4">
        <v>0</v>
      </c>
      <c r="G257" s="4">
        <v>0</v>
      </c>
      <c r="H257" s="3"/>
      <c r="I257" s="3"/>
    </row>
    <row r="258" spans="1:9" ht="15" customHeight="1">
      <c r="A258" s="14"/>
      <c r="B258" s="15" t="s">
        <v>594</v>
      </c>
      <c r="C258" s="4">
        <f t="shared" si="3"/>
        <v>325</v>
      </c>
      <c r="D258" s="4">
        <v>0</v>
      </c>
      <c r="E258" s="4">
        <v>0</v>
      </c>
      <c r="F258" s="4">
        <f>325</f>
        <v>325</v>
      </c>
      <c r="G258" s="4">
        <v>0</v>
      </c>
      <c r="H258" s="3"/>
      <c r="I258" s="3"/>
    </row>
    <row r="259" spans="1:9" ht="15" customHeight="1">
      <c r="A259" s="14"/>
      <c r="B259" s="15" t="s">
        <v>465</v>
      </c>
      <c r="C259" s="4">
        <f t="shared" si="3"/>
        <v>325</v>
      </c>
      <c r="D259" s="4">
        <f>325</f>
        <v>325</v>
      </c>
      <c r="E259" s="4">
        <v>0</v>
      </c>
      <c r="F259" s="4">
        <v>0</v>
      </c>
      <c r="G259" s="4">
        <v>0</v>
      </c>
      <c r="H259" s="3"/>
      <c r="I259" s="3"/>
    </row>
    <row r="260" spans="1:9" ht="15" customHeight="1">
      <c r="A260" s="14"/>
      <c r="B260" s="15" t="s">
        <v>650</v>
      </c>
      <c r="C260" s="4">
        <f t="shared" si="3"/>
        <v>325</v>
      </c>
      <c r="D260" s="4">
        <v>0</v>
      </c>
      <c r="E260" s="4">
        <v>0</v>
      </c>
      <c r="F260" s="4">
        <f>325</f>
        <v>325</v>
      </c>
      <c r="G260" s="4">
        <v>0</v>
      </c>
      <c r="H260" s="3"/>
      <c r="I260" s="3"/>
    </row>
    <row r="261" spans="1:9" ht="15" customHeight="1">
      <c r="A261" s="14"/>
      <c r="B261" s="15" t="s">
        <v>585</v>
      </c>
      <c r="C261" s="4">
        <f t="shared" si="3"/>
        <v>325</v>
      </c>
      <c r="D261" s="4">
        <v>0</v>
      </c>
      <c r="E261" s="4">
        <v>0</v>
      </c>
      <c r="F261" s="4">
        <f>325</f>
        <v>325</v>
      </c>
      <c r="G261" s="4">
        <v>0</v>
      </c>
      <c r="H261" s="3"/>
      <c r="I261" s="3"/>
    </row>
    <row r="262" spans="1:9" ht="15" customHeight="1">
      <c r="A262" s="14"/>
      <c r="B262" s="15" t="s">
        <v>555</v>
      </c>
      <c r="C262" s="4">
        <f t="shared" si="3"/>
        <v>325</v>
      </c>
      <c r="D262" s="4">
        <v>0</v>
      </c>
      <c r="E262" s="4">
        <f>325</f>
        <v>325</v>
      </c>
      <c r="F262" s="4">
        <v>0</v>
      </c>
      <c r="G262" s="4">
        <v>0</v>
      </c>
      <c r="H262" s="3"/>
      <c r="I262" s="3"/>
    </row>
    <row r="263" spans="1:9" ht="15" customHeight="1">
      <c r="A263" s="14"/>
      <c r="B263" s="15" t="s">
        <v>485</v>
      </c>
      <c r="C263" s="4">
        <f t="shared" si="3"/>
        <v>315</v>
      </c>
      <c r="D263" s="4">
        <f>115</f>
        <v>115</v>
      </c>
      <c r="E263" s="4">
        <f>200</f>
        <v>200</v>
      </c>
      <c r="F263" s="4">
        <v>0</v>
      </c>
      <c r="G263" s="4">
        <v>0</v>
      </c>
      <c r="H263" s="3"/>
      <c r="I263" s="3"/>
    </row>
    <row r="264" spans="1:9" ht="15" customHeight="1">
      <c r="A264" s="14"/>
      <c r="B264" s="15" t="s">
        <v>522</v>
      </c>
      <c r="C264" s="4">
        <f t="shared" si="3"/>
        <v>300</v>
      </c>
      <c r="D264" s="4">
        <v>0</v>
      </c>
      <c r="E264" s="4">
        <f>300</f>
        <v>300</v>
      </c>
      <c r="F264" s="4">
        <v>0</v>
      </c>
      <c r="G264" s="4">
        <v>0</v>
      </c>
      <c r="H264" s="3"/>
      <c r="I264" s="3"/>
    </row>
    <row r="265" spans="1:7" ht="15" customHeight="1">
      <c r="A265" s="14"/>
      <c r="B265" s="15" t="s">
        <v>683</v>
      </c>
      <c r="C265" s="4">
        <f aca="true" t="shared" si="4" ref="C265:C328">D265+E265+F265+G265</f>
        <v>300</v>
      </c>
      <c r="D265" s="4">
        <v>0</v>
      </c>
      <c r="E265" s="4">
        <v>0</v>
      </c>
      <c r="F265" s="4">
        <v>0</v>
      </c>
      <c r="G265" s="4">
        <f>300</f>
        <v>300</v>
      </c>
    </row>
    <row r="266" spans="1:7" ht="15" customHeight="1">
      <c r="A266" s="14"/>
      <c r="B266" s="14" t="s">
        <v>413</v>
      </c>
      <c r="C266" s="4">
        <f t="shared" si="4"/>
        <v>300</v>
      </c>
      <c r="D266" s="4">
        <v>0</v>
      </c>
      <c r="E266" s="4">
        <f>300</f>
        <v>300</v>
      </c>
      <c r="F266" s="4">
        <v>0</v>
      </c>
      <c r="G266" s="4">
        <v>0</v>
      </c>
    </row>
    <row r="267" spans="1:7" ht="15" customHeight="1">
      <c r="A267" s="14"/>
      <c r="B267" s="15" t="s">
        <v>260</v>
      </c>
      <c r="C267" s="4">
        <f t="shared" si="4"/>
        <v>300</v>
      </c>
      <c r="D267" s="4">
        <f>300</f>
        <v>300</v>
      </c>
      <c r="E267" s="4">
        <v>0</v>
      </c>
      <c r="F267" s="4">
        <v>0</v>
      </c>
      <c r="G267" s="4">
        <v>0</v>
      </c>
    </row>
    <row r="268" spans="1:7" ht="15" customHeight="1">
      <c r="A268" s="14"/>
      <c r="B268" s="15" t="s">
        <v>197</v>
      </c>
      <c r="C268" s="4">
        <f t="shared" si="4"/>
        <v>300</v>
      </c>
      <c r="D268" s="4">
        <v>0</v>
      </c>
      <c r="E268" s="4">
        <f>300</f>
        <v>300</v>
      </c>
      <c r="F268" s="4">
        <v>0</v>
      </c>
      <c r="G268" s="4">
        <v>0</v>
      </c>
    </row>
    <row r="269" spans="1:7" ht="15" customHeight="1">
      <c r="A269" s="14"/>
      <c r="B269" s="15" t="s">
        <v>586</v>
      </c>
      <c r="C269" s="4">
        <f t="shared" si="4"/>
        <v>300</v>
      </c>
      <c r="D269" s="4">
        <v>0</v>
      </c>
      <c r="E269" s="4">
        <v>0</v>
      </c>
      <c r="F269" s="4">
        <f>300</f>
        <v>300</v>
      </c>
      <c r="G269" s="4">
        <v>0</v>
      </c>
    </row>
    <row r="270" spans="1:7" ht="15" customHeight="1">
      <c r="A270" s="14"/>
      <c r="B270" s="15" t="s">
        <v>606</v>
      </c>
      <c r="C270" s="4">
        <f t="shared" si="4"/>
        <v>300</v>
      </c>
      <c r="D270" s="4">
        <v>0</v>
      </c>
      <c r="E270" s="4">
        <v>0</v>
      </c>
      <c r="F270" s="4">
        <f>300</f>
        <v>300</v>
      </c>
      <c r="G270" s="4">
        <v>0</v>
      </c>
    </row>
    <row r="271" spans="1:7" ht="15" customHeight="1">
      <c r="A271" s="14"/>
      <c r="B271" s="15" t="s">
        <v>600</v>
      </c>
      <c r="C271" s="4">
        <f t="shared" si="4"/>
        <v>300</v>
      </c>
      <c r="D271" s="4">
        <v>0</v>
      </c>
      <c r="E271" s="4">
        <v>0</v>
      </c>
      <c r="F271" s="4">
        <f>300</f>
        <v>300</v>
      </c>
      <c r="G271" s="4">
        <v>0</v>
      </c>
    </row>
    <row r="272" spans="1:7" ht="15" customHeight="1">
      <c r="A272" s="14"/>
      <c r="B272" s="15" t="s">
        <v>595</v>
      </c>
      <c r="C272" s="4">
        <f t="shared" si="4"/>
        <v>300</v>
      </c>
      <c r="D272" s="4">
        <v>0</v>
      </c>
      <c r="E272" s="4">
        <v>0</v>
      </c>
      <c r="F272" s="4">
        <f>300</f>
        <v>300</v>
      </c>
      <c r="G272" s="4">
        <v>0</v>
      </c>
    </row>
    <row r="273" spans="1:7" ht="15" customHeight="1">
      <c r="A273" s="14"/>
      <c r="B273" s="15" t="s">
        <v>640</v>
      </c>
      <c r="C273" s="4">
        <f t="shared" si="4"/>
        <v>300</v>
      </c>
      <c r="D273" s="4">
        <v>0</v>
      </c>
      <c r="E273" s="4">
        <v>0</v>
      </c>
      <c r="F273" s="4">
        <f>300</f>
        <v>300</v>
      </c>
      <c r="G273" s="4">
        <v>0</v>
      </c>
    </row>
    <row r="274" spans="1:7" ht="15" customHeight="1">
      <c r="A274" s="14"/>
      <c r="B274" s="15" t="s">
        <v>620</v>
      </c>
      <c r="C274" s="4">
        <f t="shared" si="4"/>
        <v>300</v>
      </c>
      <c r="D274" s="4">
        <v>0</v>
      </c>
      <c r="E274" s="4">
        <v>0</v>
      </c>
      <c r="F274" s="4">
        <f>300</f>
        <v>300</v>
      </c>
      <c r="G274" s="4">
        <v>0</v>
      </c>
    </row>
    <row r="275" spans="1:7" ht="15" customHeight="1">
      <c r="A275" s="14"/>
      <c r="B275" s="15" t="s">
        <v>597</v>
      </c>
      <c r="C275" s="4">
        <f t="shared" si="4"/>
        <v>300</v>
      </c>
      <c r="D275" s="4">
        <v>0</v>
      </c>
      <c r="E275" s="4">
        <v>0</v>
      </c>
      <c r="F275" s="4">
        <f>300</f>
        <v>300</v>
      </c>
      <c r="G275" s="4">
        <v>0</v>
      </c>
    </row>
    <row r="276" spans="1:7" ht="15" customHeight="1">
      <c r="A276" s="14"/>
      <c r="B276" s="15" t="s">
        <v>678</v>
      </c>
      <c r="C276" s="4">
        <f t="shared" si="4"/>
        <v>300</v>
      </c>
      <c r="D276" s="4">
        <v>0</v>
      </c>
      <c r="E276" s="4">
        <v>0</v>
      </c>
      <c r="F276" s="4">
        <v>0</v>
      </c>
      <c r="G276" s="4">
        <f>300</f>
        <v>300</v>
      </c>
    </row>
    <row r="277" spans="1:7" ht="15" customHeight="1">
      <c r="A277" s="14"/>
      <c r="B277" s="15" t="s">
        <v>432</v>
      </c>
      <c r="C277" s="4">
        <f t="shared" si="4"/>
        <v>300</v>
      </c>
      <c r="D277" s="4">
        <v>300</v>
      </c>
      <c r="E277" s="4">
        <v>0</v>
      </c>
      <c r="F277" s="4">
        <v>0</v>
      </c>
      <c r="G277" s="4">
        <v>0</v>
      </c>
    </row>
    <row r="278" spans="1:7" ht="15" customHeight="1">
      <c r="A278" s="14"/>
      <c r="B278" s="15" t="s">
        <v>593</v>
      </c>
      <c r="C278" s="4">
        <f t="shared" si="4"/>
        <v>300</v>
      </c>
      <c r="D278" s="4">
        <v>0</v>
      </c>
      <c r="E278" s="4">
        <v>0</v>
      </c>
      <c r="F278" s="4">
        <f>300</f>
        <v>300</v>
      </c>
      <c r="G278" s="4">
        <v>0</v>
      </c>
    </row>
    <row r="279" spans="1:7" ht="15" customHeight="1">
      <c r="A279" s="14"/>
      <c r="B279" s="15" t="s">
        <v>677</v>
      </c>
      <c r="C279" s="4">
        <f t="shared" si="4"/>
        <v>290</v>
      </c>
      <c r="D279" s="4">
        <v>0</v>
      </c>
      <c r="E279" s="4">
        <v>0</v>
      </c>
      <c r="F279" s="4">
        <v>0</v>
      </c>
      <c r="G279" s="4">
        <f>160+130</f>
        <v>290</v>
      </c>
    </row>
    <row r="280" spans="1:7" ht="15" customHeight="1">
      <c r="A280" s="14"/>
      <c r="B280" s="15" t="s">
        <v>482</v>
      </c>
      <c r="C280" s="4">
        <f t="shared" si="4"/>
        <v>275</v>
      </c>
      <c r="D280" s="4">
        <f>115</f>
        <v>115</v>
      </c>
      <c r="E280" s="4">
        <f>160</f>
        <v>160</v>
      </c>
      <c r="F280" s="4">
        <v>0</v>
      </c>
      <c r="G280" s="4">
        <v>0</v>
      </c>
    </row>
    <row r="281" spans="1:7" ht="15" customHeight="1">
      <c r="A281" s="14"/>
      <c r="B281" s="15" t="s">
        <v>137</v>
      </c>
      <c r="C281" s="4">
        <f t="shared" si="4"/>
        <v>275</v>
      </c>
      <c r="D281" s="4">
        <v>0</v>
      </c>
      <c r="E281" s="4">
        <v>0</v>
      </c>
      <c r="F281" s="4">
        <f>275</f>
        <v>275</v>
      </c>
      <c r="G281" s="4">
        <v>0</v>
      </c>
    </row>
    <row r="282" spans="1:7" ht="15" customHeight="1">
      <c r="A282" s="14"/>
      <c r="B282" s="14" t="s">
        <v>503</v>
      </c>
      <c r="C282" s="4">
        <f t="shared" si="4"/>
        <v>275</v>
      </c>
      <c r="D282" s="4">
        <v>275</v>
      </c>
      <c r="E282" s="4">
        <v>0</v>
      </c>
      <c r="F282" s="4">
        <v>0</v>
      </c>
      <c r="G282" s="4">
        <v>0</v>
      </c>
    </row>
    <row r="283" spans="1:7" ht="15" customHeight="1">
      <c r="A283" s="14"/>
      <c r="B283" s="15" t="s">
        <v>156</v>
      </c>
      <c r="C283" s="4">
        <f t="shared" si="4"/>
        <v>275</v>
      </c>
      <c r="D283" s="4">
        <f>275</f>
        <v>275</v>
      </c>
      <c r="E283" s="4">
        <v>0</v>
      </c>
      <c r="F283" s="4">
        <v>0</v>
      </c>
      <c r="G283" s="4">
        <v>0</v>
      </c>
    </row>
    <row r="284" spans="1:7" ht="15" customHeight="1">
      <c r="A284" s="14"/>
      <c r="B284" s="15" t="s">
        <v>576</v>
      </c>
      <c r="C284" s="4">
        <f t="shared" si="4"/>
        <v>275</v>
      </c>
      <c r="D284" s="4">
        <v>0</v>
      </c>
      <c r="E284" s="4">
        <f>275</f>
        <v>275</v>
      </c>
      <c r="F284" s="4">
        <v>0</v>
      </c>
      <c r="G284" s="4">
        <v>0</v>
      </c>
    </row>
    <row r="285" spans="1:7" ht="15" customHeight="1">
      <c r="A285" s="14"/>
      <c r="B285" s="15" t="s">
        <v>334</v>
      </c>
      <c r="C285" s="4">
        <f t="shared" si="4"/>
        <v>275</v>
      </c>
      <c r="D285" s="4">
        <f>275</f>
        <v>275</v>
      </c>
      <c r="E285" s="4">
        <v>0</v>
      </c>
      <c r="F285" s="4">
        <v>0</v>
      </c>
      <c r="G285" s="4">
        <v>0</v>
      </c>
    </row>
    <row r="286" spans="1:7" ht="15" customHeight="1">
      <c r="A286" s="14"/>
      <c r="B286" s="15" t="s">
        <v>468</v>
      </c>
      <c r="C286" s="4">
        <f t="shared" si="4"/>
        <v>275</v>
      </c>
      <c r="D286" s="4">
        <f>275</f>
        <v>275</v>
      </c>
      <c r="E286" s="4">
        <v>0</v>
      </c>
      <c r="F286" s="4">
        <v>0</v>
      </c>
      <c r="G286" s="4">
        <v>0</v>
      </c>
    </row>
    <row r="287" spans="1:7" ht="15" customHeight="1">
      <c r="A287" s="14"/>
      <c r="B287" s="15" t="s">
        <v>615</v>
      </c>
      <c r="C287" s="4">
        <f t="shared" si="4"/>
        <v>275</v>
      </c>
      <c r="D287" s="4">
        <v>0</v>
      </c>
      <c r="E287" s="4">
        <v>0</v>
      </c>
      <c r="F287" s="4">
        <f>275</f>
        <v>275</v>
      </c>
      <c r="G287" s="4">
        <v>0</v>
      </c>
    </row>
    <row r="288" spans="1:7" ht="15" customHeight="1">
      <c r="A288" s="14"/>
      <c r="B288" s="15" t="s">
        <v>696</v>
      </c>
      <c r="C288" s="4">
        <f t="shared" si="4"/>
        <v>275</v>
      </c>
      <c r="D288" s="4">
        <v>0</v>
      </c>
      <c r="E288" s="4">
        <v>0</v>
      </c>
      <c r="F288" s="4">
        <v>0</v>
      </c>
      <c r="G288" s="4">
        <f>275</f>
        <v>275</v>
      </c>
    </row>
    <row r="289" spans="1:7" ht="15" customHeight="1">
      <c r="A289" s="14"/>
      <c r="B289" s="15" t="s">
        <v>648</v>
      </c>
      <c r="C289" s="4">
        <f t="shared" si="4"/>
        <v>275</v>
      </c>
      <c r="D289" s="4">
        <v>0</v>
      </c>
      <c r="E289" s="4">
        <v>0</v>
      </c>
      <c r="F289" s="4">
        <v>0</v>
      </c>
      <c r="G289" s="4">
        <f>275</f>
        <v>275</v>
      </c>
    </row>
    <row r="290" spans="1:7" ht="15" customHeight="1">
      <c r="A290" s="14"/>
      <c r="B290" s="15" t="s">
        <v>679</v>
      </c>
      <c r="C290" s="4">
        <f t="shared" si="4"/>
        <v>275</v>
      </c>
      <c r="D290" s="4">
        <v>0</v>
      </c>
      <c r="E290" s="4">
        <v>0</v>
      </c>
      <c r="F290" s="4">
        <v>0</v>
      </c>
      <c r="G290" s="4">
        <f>275</f>
        <v>275</v>
      </c>
    </row>
    <row r="291" spans="1:7" ht="15" customHeight="1">
      <c r="A291" s="14"/>
      <c r="B291" s="15" t="s">
        <v>657</v>
      </c>
      <c r="C291" s="4">
        <f t="shared" si="4"/>
        <v>275</v>
      </c>
      <c r="D291" s="4">
        <v>0</v>
      </c>
      <c r="E291" s="4">
        <v>0</v>
      </c>
      <c r="F291" s="4">
        <v>0</v>
      </c>
      <c r="G291" s="4">
        <f>275</f>
        <v>275</v>
      </c>
    </row>
    <row r="292" spans="1:7" ht="15" customHeight="1">
      <c r="A292" s="14"/>
      <c r="B292" s="15" t="s">
        <v>570</v>
      </c>
      <c r="C292" s="4">
        <f t="shared" si="4"/>
        <v>275</v>
      </c>
      <c r="D292" s="4">
        <v>0</v>
      </c>
      <c r="E292" s="4">
        <f>275</f>
        <v>275</v>
      </c>
      <c r="F292" s="4">
        <v>0</v>
      </c>
      <c r="G292" s="4">
        <v>0</v>
      </c>
    </row>
    <row r="293" spans="1:7" ht="15" customHeight="1">
      <c r="A293" s="14"/>
      <c r="B293" s="15" t="s">
        <v>540</v>
      </c>
      <c r="C293" s="4">
        <f t="shared" si="4"/>
        <v>275</v>
      </c>
      <c r="D293" s="4">
        <v>0</v>
      </c>
      <c r="E293" s="4">
        <f>275</f>
        <v>275</v>
      </c>
      <c r="F293" s="4">
        <v>0</v>
      </c>
      <c r="G293" s="4">
        <v>0</v>
      </c>
    </row>
    <row r="294" spans="1:7" ht="15" customHeight="1">
      <c r="A294" s="14"/>
      <c r="B294" s="15" t="s">
        <v>508</v>
      </c>
      <c r="C294" s="4">
        <f t="shared" si="4"/>
        <v>275</v>
      </c>
      <c r="D294" s="4">
        <v>0</v>
      </c>
      <c r="E294" s="4">
        <f>275</f>
        <v>275</v>
      </c>
      <c r="F294" s="4">
        <v>0</v>
      </c>
      <c r="G294" s="4">
        <v>0</v>
      </c>
    </row>
    <row r="295" spans="1:7" ht="15" customHeight="1">
      <c r="A295" s="14"/>
      <c r="B295" s="15" t="s">
        <v>481</v>
      </c>
      <c r="C295" s="4">
        <f t="shared" si="4"/>
        <v>275</v>
      </c>
      <c r="D295" s="4">
        <f>275</f>
        <v>275</v>
      </c>
      <c r="E295" s="4">
        <v>0</v>
      </c>
      <c r="F295" s="4">
        <v>0</v>
      </c>
      <c r="G295" s="4">
        <v>0</v>
      </c>
    </row>
    <row r="296" spans="1:7" ht="15" customHeight="1">
      <c r="A296" s="14"/>
      <c r="B296" s="15" t="s">
        <v>596</v>
      </c>
      <c r="C296" s="4">
        <f t="shared" si="4"/>
        <v>275</v>
      </c>
      <c r="D296" s="4">
        <v>0</v>
      </c>
      <c r="E296" s="4">
        <v>0</v>
      </c>
      <c r="F296" s="4">
        <f>275</f>
        <v>275</v>
      </c>
      <c r="G296" s="4">
        <v>0</v>
      </c>
    </row>
    <row r="297" spans="1:7" ht="15" customHeight="1">
      <c r="A297" s="14"/>
      <c r="B297" s="15" t="s">
        <v>105</v>
      </c>
      <c r="C297" s="4">
        <f t="shared" si="4"/>
        <v>275</v>
      </c>
      <c r="D297" s="4">
        <v>0</v>
      </c>
      <c r="E297" s="4">
        <v>0</v>
      </c>
      <c r="F297" s="4">
        <v>0</v>
      </c>
      <c r="G297" s="4">
        <f>275</f>
        <v>275</v>
      </c>
    </row>
    <row r="298" spans="1:7" ht="15" customHeight="1">
      <c r="A298" s="14"/>
      <c r="B298" s="15" t="s">
        <v>633</v>
      </c>
      <c r="C298" s="4">
        <f t="shared" si="4"/>
        <v>260</v>
      </c>
      <c r="D298" s="4">
        <v>0</v>
      </c>
      <c r="E298" s="4">
        <v>0</v>
      </c>
      <c r="F298" s="4">
        <f>130</f>
        <v>130</v>
      </c>
      <c r="G298" s="4">
        <f>130</f>
        <v>130</v>
      </c>
    </row>
    <row r="299" spans="1:7" ht="15" customHeight="1">
      <c r="A299" s="14"/>
      <c r="B299" s="14" t="s">
        <v>524</v>
      </c>
      <c r="C299" s="4">
        <f t="shared" si="4"/>
        <v>260</v>
      </c>
      <c r="D299" s="4">
        <v>0</v>
      </c>
      <c r="E299" s="4">
        <f>115</f>
        <v>115</v>
      </c>
      <c r="F299" s="4">
        <f>145</f>
        <v>145</v>
      </c>
      <c r="G299" s="4">
        <v>0</v>
      </c>
    </row>
    <row r="300" spans="1:7" ht="15" customHeight="1">
      <c r="A300" s="14"/>
      <c r="B300" s="15" t="s">
        <v>297</v>
      </c>
      <c r="C300" s="4">
        <f t="shared" si="4"/>
        <v>260</v>
      </c>
      <c r="D300" s="4">
        <f>145</f>
        <v>145</v>
      </c>
      <c r="E300" s="4">
        <f>115</f>
        <v>115</v>
      </c>
      <c r="F300" s="4">
        <v>0</v>
      </c>
      <c r="G300" s="4">
        <v>0</v>
      </c>
    </row>
    <row r="301" spans="1:7" ht="15" customHeight="1">
      <c r="A301" s="14"/>
      <c r="B301" s="15" t="s">
        <v>556</v>
      </c>
      <c r="C301" s="4">
        <f t="shared" si="4"/>
        <v>250</v>
      </c>
      <c r="D301" s="4">
        <v>0</v>
      </c>
      <c r="E301" s="4">
        <f>250</f>
        <v>250</v>
      </c>
      <c r="F301" s="4">
        <v>0</v>
      </c>
      <c r="G301" s="4">
        <v>0</v>
      </c>
    </row>
    <row r="302" spans="1:7" ht="15" customHeight="1">
      <c r="A302" s="14"/>
      <c r="B302" s="14" t="s">
        <v>505</v>
      </c>
      <c r="C302" s="4">
        <f t="shared" si="4"/>
        <v>250</v>
      </c>
      <c r="D302" s="4">
        <v>0</v>
      </c>
      <c r="E302" s="4">
        <f>250</f>
        <v>250</v>
      </c>
      <c r="F302" s="4">
        <v>0</v>
      </c>
      <c r="G302" s="4">
        <v>0</v>
      </c>
    </row>
    <row r="303" spans="1:7" ht="15" customHeight="1">
      <c r="A303" s="14"/>
      <c r="B303" s="15" t="s">
        <v>490</v>
      </c>
      <c r="C303" s="4">
        <f t="shared" si="4"/>
        <v>250</v>
      </c>
      <c r="D303" s="4">
        <f>250</f>
        <v>250</v>
      </c>
      <c r="E303" s="4">
        <v>0</v>
      </c>
      <c r="F303" s="4">
        <v>0</v>
      </c>
      <c r="G303" s="4">
        <v>0</v>
      </c>
    </row>
    <row r="304" spans="1:7" ht="15" customHeight="1">
      <c r="A304" s="14"/>
      <c r="B304" s="15" t="s">
        <v>545</v>
      </c>
      <c r="C304" s="4">
        <f t="shared" si="4"/>
        <v>250</v>
      </c>
      <c r="D304" s="4">
        <v>0</v>
      </c>
      <c r="E304" s="4">
        <f>250</f>
        <v>250</v>
      </c>
      <c r="F304" s="4">
        <v>0</v>
      </c>
      <c r="G304" s="4">
        <v>0</v>
      </c>
    </row>
    <row r="305" spans="1:7" ht="15" customHeight="1">
      <c r="A305" s="14"/>
      <c r="B305" s="15" t="s">
        <v>504</v>
      </c>
      <c r="C305" s="4">
        <f t="shared" si="4"/>
        <v>250</v>
      </c>
      <c r="D305" s="4">
        <v>250</v>
      </c>
      <c r="E305" s="4">
        <v>0</v>
      </c>
      <c r="F305" s="4">
        <v>0</v>
      </c>
      <c r="G305" s="4">
        <v>0</v>
      </c>
    </row>
    <row r="306" spans="1:7" ht="15" customHeight="1">
      <c r="A306" s="14"/>
      <c r="B306" s="15" t="s">
        <v>322</v>
      </c>
      <c r="C306" s="4">
        <f t="shared" si="4"/>
        <v>250</v>
      </c>
      <c r="D306" s="4">
        <f>250</f>
        <v>250</v>
      </c>
      <c r="E306" s="4">
        <v>0</v>
      </c>
      <c r="F306" s="4">
        <v>0</v>
      </c>
      <c r="G306" s="4">
        <v>0</v>
      </c>
    </row>
    <row r="307" spans="1:7" ht="15" customHeight="1">
      <c r="A307" s="14"/>
      <c r="B307" s="15" t="s">
        <v>560</v>
      </c>
      <c r="C307" s="4">
        <f t="shared" si="4"/>
        <v>250</v>
      </c>
      <c r="D307" s="4">
        <v>0</v>
      </c>
      <c r="E307" s="4">
        <f>250</f>
        <v>250</v>
      </c>
      <c r="F307" s="4">
        <v>0</v>
      </c>
      <c r="G307" s="4">
        <v>0</v>
      </c>
    </row>
    <row r="308" spans="1:7" ht="15" customHeight="1">
      <c r="A308" s="14"/>
      <c r="B308" s="15" t="s">
        <v>621</v>
      </c>
      <c r="C308" s="4">
        <f t="shared" si="4"/>
        <v>250</v>
      </c>
      <c r="D308" s="4">
        <v>0</v>
      </c>
      <c r="E308" s="4">
        <v>0</v>
      </c>
      <c r="F308" s="4">
        <f>250</f>
        <v>250</v>
      </c>
      <c r="G308" s="4">
        <v>0</v>
      </c>
    </row>
    <row r="309" spans="1:7" ht="15" customHeight="1">
      <c r="A309" s="14"/>
      <c r="B309" s="15" t="s">
        <v>580</v>
      </c>
      <c r="C309" s="4">
        <f t="shared" si="4"/>
        <v>250</v>
      </c>
      <c r="D309" s="4">
        <v>0</v>
      </c>
      <c r="E309" s="4">
        <v>0</v>
      </c>
      <c r="F309" s="4">
        <f>250</f>
        <v>250</v>
      </c>
      <c r="G309" s="4">
        <v>0</v>
      </c>
    </row>
    <row r="310" spans="1:7" ht="15" customHeight="1">
      <c r="A310" s="14"/>
      <c r="B310" s="15" t="s">
        <v>571</v>
      </c>
      <c r="C310" s="4">
        <f t="shared" si="4"/>
        <v>250</v>
      </c>
      <c r="D310" s="4">
        <v>0</v>
      </c>
      <c r="E310" s="4">
        <f>250</f>
        <v>250</v>
      </c>
      <c r="F310" s="4">
        <v>0</v>
      </c>
      <c r="G310" s="4">
        <v>0</v>
      </c>
    </row>
    <row r="311" spans="1:7" ht="15" customHeight="1">
      <c r="A311" s="14"/>
      <c r="B311" s="15" t="s">
        <v>425</v>
      </c>
      <c r="C311" s="4">
        <f t="shared" si="4"/>
        <v>250</v>
      </c>
      <c r="D311" s="4">
        <f>250</f>
        <v>250</v>
      </c>
      <c r="E311" s="4">
        <v>0</v>
      </c>
      <c r="F311" s="4">
        <v>0</v>
      </c>
      <c r="G311" s="4">
        <v>0</v>
      </c>
    </row>
    <row r="312" spans="1:7" ht="15" customHeight="1">
      <c r="A312" s="14"/>
      <c r="B312" s="15" t="s">
        <v>607</v>
      </c>
      <c r="C312" s="4">
        <f t="shared" si="4"/>
        <v>250</v>
      </c>
      <c r="D312" s="4">
        <v>0</v>
      </c>
      <c r="E312" s="4">
        <v>0</v>
      </c>
      <c r="F312" s="4">
        <f>250</f>
        <v>250</v>
      </c>
      <c r="G312" s="4">
        <v>0</v>
      </c>
    </row>
    <row r="313" spans="1:7" ht="15" customHeight="1">
      <c r="A313" s="14"/>
      <c r="B313" s="15" t="s">
        <v>50</v>
      </c>
      <c r="C313" s="4">
        <f t="shared" si="4"/>
        <v>225</v>
      </c>
      <c r="D313" s="4">
        <f>225</f>
        <v>225</v>
      </c>
      <c r="E313" s="4">
        <v>0</v>
      </c>
      <c r="F313" s="4">
        <v>0</v>
      </c>
      <c r="G313" s="4">
        <v>0</v>
      </c>
    </row>
    <row r="314" spans="1:7" ht="15" customHeight="1">
      <c r="A314" s="14"/>
      <c r="B314" s="15" t="s">
        <v>668</v>
      </c>
      <c r="C314" s="4">
        <f t="shared" si="4"/>
        <v>225</v>
      </c>
      <c r="D314" s="4">
        <v>0</v>
      </c>
      <c r="E314" s="4">
        <v>0</v>
      </c>
      <c r="F314" s="4">
        <v>0</v>
      </c>
      <c r="G314" s="4">
        <f>225</f>
        <v>225</v>
      </c>
    </row>
    <row r="315" spans="1:7" ht="15" customHeight="1">
      <c r="A315" s="14"/>
      <c r="B315" s="15" t="s">
        <v>493</v>
      </c>
      <c r="C315" s="4">
        <f t="shared" si="4"/>
        <v>225</v>
      </c>
      <c r="D315" s="4">
        <f>225</f>
        <v>225</v>
      </c>
      <c r="E315" s="4">
        <v>0</v>
      </c>
      <c r="F315" s="4">
        <v>0</v>
      </c>
      <c r="G315" s="4">
        <v>0</v>
      </c>
    </row>
    <row r="316" spans="1:7" ht="15" customHeight="1">
      <c r="A316" s="14"/>
      <c r="B316" s="15" t="s">
        <v>476</v>
      </c>
      <c r="C316" s="4">
        <f t="shared" si="4"/>
        <v>225</v>
      </c>
      <c r="D316" s="4">
        <f>225</f>
        <v>225</v>
      </c>
      <c r="E316" s="4">
        <v>0</v>
      </c>
      <c r="F316" s="4">
        <v>0</v>
      </c>
      <c r="G316" s="4">
        <v>0</v>
      </c>
    </row>
    <row r="317" spans="1:7" ht="15" customHeight="1">
      <c r="A317" s="14"/>
      <c r="B317" s="15" t="s">
        <v>697</v>
      </c>
      <c r="C317" s="4">
        <f t="shared" si="4"/>
        <v>225</v>
      </c>
      <c r="D317" s="4">
        <v>0</v>
      </c>
      <c r="E317" s="4">
        <v>0</v>
      </c>
      <c r="F317" s="4">
        <v>0</v>
      </c>
      <c r="G317" s="4">
        <f>225</f>
        <v>225</v>
      </c>
    </row>
    <row r="318" spans="1:7" ht="15" customHeight="1">
      <c r="A318" s="14"/>
      <c r="B318" s="15" t="s">
        <v>627</v>
      </c>
      <c r="C318" s="4">
        <f t="shared" si="4"/>
        <v>225</v>
      </c>
      <c r="D318" s="4">
        <v>0</v>
      </c>
      <c r="E318" s="4">
        <v>0</v>
      </c>
      <c r="F318" s="4">
        <f>225</f>
        <v>225</v>
      </c>
      <c r="G318" s="4">
        <v>0</v>
      </c>
    </row>
    <row r="319" spans="1:7" ht="15" customHeight="1">
      <c r="A319" s="14"/>
      <c r="B319" s="15" t="s">
        <v>695</v>
      </c>
      <c r="C319" s="4">
        <f t="shared" si="4"/>
        <v>225</v>
      </c>
      <c r="D319" s="4">
        <v>0</v>
      </c>
      <c r="E319" s="4">
        <v>0</v>
      </c>
      <c r="F319" s="4">
        <v>0</v>
      </c>
      <c r="G319" s="4">
        <f>225</f>
        <v>225</v>
      </c>
    </row>
    <row r="320" spans="1:7" ht="15" customHeight="1">
      <c r="A320" s="14"/>
      <c r="B320" s="15" t="s">
        <v>631</v>
      </c>
      <c r="C320" s="4">
        <f t="shared" si="4"/>
        <v>225</v>
      </c>
      <c r="D320" s="4">
        <v>0</v>
      </c>
      <c r="E320" s="4">
        <v>0</v>
      </c>
      <c r="F320" s="4">
        <f>225</f>
        <v>225</v>
      </c>
      <c r="G320" s="4">
        <v>0</v>
      </c>
    </row>
    <row r="321" spans="1:7" ht="15" customHeight="1">
      <c r="A321" s="14"/>
      <c r="B321" s="15" t="s">
        <v>693</v>
      </c>
      <c r="C321" s="4">
        <f t="shared" si="4"/>
        <v>225</v>
      </c>
      <c r="D321" s="4">
        <v>0</v>
      </c>
      <c r="E321" s="4">
        <v>0</v>
      </c>
      <c r="F321" s="4">
        <v>0</v>
      </c>
      <c r="G321" s="4">
        <f>225</f>
        <v>225</v>
      </c>
    </row>
    <row r="322" spans="1:7" ht="15" customHeight="1">
      <c r="A322" s="14"/>
      <c r="B322" s="15" t="s">
        <v>527</v>
      </c>
      <c r="C322" s="4">
        <f t="shared" si="4"/>
        <v>225</v>
      </c>
      <c r="D322" s="4">
        <v>0</v>
      </c>
      <c r="E322" s="4">
        <f>225</f>
        <v>225</v>
      </c>
      <c r="F322" s="4">
        <v>0</v>
      </c>
      <c r="G322" s="4">
        <v>0</v>
      </c>
    </row>
    <row r="323" spans="1:7" ht="15" customHeight="1">
      <c r="A323" s="14"/>
      <c r="B323" s="15" t="s">
        <v>172</v>
      </c>
      <c r="C323" s="4">
        <f t="shared" si="4"/>
        <v>225</v>
      </c>
      <c r="D323" s="4">
        <v>0</v>
      </c>
      <c r="E323" s="4">
        <v>0</v>
      </c>
      <c r="F323" s="4">
        <f>225</f>
        <v>225</v>
      </c>
      <c r="G323" s="4">
        <v>0</v>
      </c>
    </row>
    <row r="324" spans="1:7" ht="15" customHeight="1">
      <c r="A324" s="14"/>
      <c r="B324" s="15" t="s">
        <v>582</v>
      </c>
      <c r="C324" s="4">
        <f t="shared" si="4"/>
        <v>225</v>
      </c>
      <c r="D324" s="4">
        <v>0</v>
      </c>
      <c r="E324" s="4">
        <v>0</v>
      </c>
      <c r="F324" s="4">
        <f>225</f>
        <v>225</v>
      </c>
      <c r="G324" s="4">
        <v>0</v>
      </c>
    </row>
    <row r="325" spans="1:7" ht="15" customHeight="1">
      <c r="A325" s="14"/>
      <c r="B325" s="15" t="s">
        <v>575</v>
      </c>
      <c r="C325" s="4">
        <f t="shared" si="4"/>
        <v>225</v>
      </c>
      <c r="D325" s="4">
        <v>0</v>
      </c>
      <c r="E325" s="4">
        <f>225</f>
        <v>225</v>
      </c>
      <c r="F325" s="4">
        <v>0</v>
      </c>
      <c r="G325" s="4">
        <v>0</v>
      </c>
    </row>
    <row r="326" spans="1:7" ht="15" customHeight="1">
      <c r="A326" s="14"/>
      <c r="B326" s="15" t="s">
        <v>634</v>
      </c>
      <c r="C326" s="4">
        <f t="shared" si="4"/>
        <v>225</v>
      </c>
      <c r="D326" s="4">
        <v>0</v>
      </c>
      <c r="E326" s="4">
        <v>0</v>
      </c>
      <c r="F326" s="4">
        <f>225</f>
        <v>225</v>
      </c>
      <c r="G326" s="4">
        <v>0</v>
      </c>
    </row>
    <row r="327" spans="1:7" ht="15" customHeight="1">
      <c r="A327" s="14"/>
      <c r="B327" s="15" t="s">
        <v>691</v>
      </c>
      <c r="C327" s="4">
        <f t="shared" si="4"/>
        <v>225</v>
      </c>
      <c r="D327" s="4">
        <v>0</v>
      </c>
      <c r="E327" s="4">
        <v>0</v>
      </c>
      <c r="F327" s="4">
        <v>0</v>
      </c>
      <c r="G327" s="4">
        <f>225</f>
        <v>225</v>
      </c>
    </row>
    <row r="328" spans="1:7" ht="15" customHeight="1">
      <c r="A328" s="14"/>
      <c r="B328" s="15" t="s">
        <v>610</v>
      </c>
      <c r="C328" s="4">
        <f t="shared" si="4"/>
        <v>225</v>
      </c>
      <c r="D328" s="4">
        <v>0</v>
      </c>
      <c r="E328" s="4">
        <v>0</v>
      </c>
      <c r="F328" s="4">
        <f>225</f>
        <v>225</v>
      </c>
      <c r="G328" s="4">
        <v>0</v>
      </c>
    </row>
    <row r="329" spans="1:7" ht="15" customHeight="1">
      <c r="A329" s="14"/>
      <c r="B329" s="15" t="s">
        <v>387</v>
      </c>
      <c r="C329" s="4">
        <f aca="true" t="shared" si="5" ref="C329:C392">D329+E329+F329+G329</f>
        <v>200</v>
      </c>
      <c r="D329" s="4">
        <f>200</f>
        <v>200</v>
      </c>
      <c r="E329" s="4">
        <v>0</v>
      </c>
      <c r="F329" s="4">
        <v>0</v>
      </c>
      <c r="G329" s="4">
        <v>0</v>
      </c>
    </row>
    <row r="330" spans="1:7" ht="15" customHeight="1">
      <c r="A330" s="14"/>
      <c r="B330" s="15" t="s">
        <v>588</v>
      </c>
      <c r="C330" s="4">
        <f t="shared" si="5"/>
        <v>200</v>
      </c>
      <c r="D330" s="4">
        <v>0</v>
      </c>
      <c r="E330" s="4">
        <v>0</v>
      </c>
      <c r="F330" s="4">
        <f>200</f>
        <v>200</v>
      </c>
      <c r="G330" s="4">
        <v>0</v>
      </c>
    </row>
    <row r="331" spans="1:7" ht="15" customHeight="1">
      <c r="A331" s="14"/>
      <c r="B331" s="15" t="s">
        <v>229</v>
      </c>
      <c r="C331" s="4">
        <f t="shared" si="5"/>
        <v>200</v>
      </c>
      <c r="D331" s="4">
        <f>200</f>
        <v>200</v>
      </c>
      <c r="E331" s="4">
        <v>0</v>
      </c>
      <c r="F331" s="4">
        <v>0</v>
      </c>
      <c r="G331" s="4">
        <v>0</v>
      </c>
    </row>
    <row r="332" spans="1:7" ht="15" customHeight="1">
      <c r="A332" s="14"/>
      <c r="B332" s="15" t="s">
        <v>347</v>
      </c>
      <c r="C332" s="4">
        <f t="shared" si="5"/>
        <v>200</v>
      </c>
      <c r="D332" s="4">
        <v>0</v>
      </c>
      <c r="E332" s="4">
        <v>0</v>
      </c>
      <c r="F332" s="4">
        <v>0</v>
      </c>
      <c r="G332" s="4">
        <f>200</f>
        <v>200</v>
      </c>
    </row>
    <row r="333" spans="1:7" ht="15" customHeight="1">
      <c r="A333" s="14"/>
      <c r="B333" s="15" t="s">
        <v>617</v>
      </c>
      <c r="C333" s="4">
        <f t="shared" si="5"/>
        <v>200</v>
      </c>
      <c r="D333" s="4">
        <v>0</v>
      </c>
      <c r="E333" s="4">
        <v>0</v>
      </c>
      <c r="F333" s="4">
        <f>200</f>
        <v>200</v>
      </c>
      <c r="G333" s="4">
        <v>0</v>
      </c>
    </row>
    <row r="334" spans="1:7" ht="15" customHeight="1">
      <c r="A334" s="14"/>
      <c r="B334" s="15" t="s">
        <v>516</v>
      </c>
      <c r="C334" s="4">
        <f t="shared" si="5"/>
        <v>200</v>
      </c>
      <c r="D334" s="4">
        <v>0</v>
      </c>
      <c r="E334" s="4">
        <f>200</f>
        <v>200</v>
      </c>
      <c r="F334" s="4">
        <v>0</v>
      </c>
      <c r="G334" s="4">
        <v>0</v>
      </c>
    </row>
    <row r="335" spans="1:7" ht="15" customHeight="1">
      <c r="A335" s="14"/>
      <c r="B335" s="15" t="s">
        <v>495</v>
      </c>
      <c r="C335" s="4">
        <f t="shared" si="5"/>
        <v>200</v>
      </c>
      <c r="D335" s="4">
        <f>200</f>
        <v>200</v>
      </c>
      <c r="E335" s="4">
        <v>0</v>
      </c>
      <c r="F335" s="4">
        <v>0</v>
      </c>
      <c r="G335" s="4">
        <v>0</v>
      </c>
    </row>
    <row r="336" spans="1:7" ht="15" customHeight="1">
      <c r="A336" s="14"/>
      <c r="B336" s="15" t="s">
        <v>466</v>
      </c>
      <c r="C336" s="4">
        <f t="shared" si="5"/>
        <v>200</v>
      </c>
      <c r="D336" s="4">
        <f>200</f>
        <v>200</v>
      </c>
      <c r="E336" s="4">
        <v>0</v>
      </c>
      <c r="F336" s="4">
        <v>0</v>
      </c>
      <c r="G336" s="4">
        <v>0</v>
      </c>
    </row>
    <row r="337" spans="1:7" ht="15" customHeight="1">
      <c r="A337" s="14"/>
      <c r="B337" s="15" t="s">
        <v>601</v>
      </c>
      <c r="C337" s="4">
        <f t="shared" si="5"/>
        <v>200</v>
      </c>
      <c r="D337" s="4">
        <v>0</v>
      </c>
      <c r="E337" s="4">
        <v>0</v>
      </c>
      <c r="F337" s="4">
        <f>200</f>
        <v>200</v>
      </c>
      <c r="G337" s="4">
        <v>0</v>
      </c>
    </row>
    <row r="338" spans="1:7" ht="15" customHeight="1">
      <c r="A338" s="14"/>
      <c r="B338" s="15" t="s">
        <v>497</v>
      </c>
      <c r="C338" s="4">
        <f t="shared" si="5"/>
        <v>200</v>
      </c>
      <c r="D338" s="4">
        <f>200</f>
        <v>200</v>
      </c>
      <c r="E338" s="4">
        <v>0</v>
      </c>
      <c r="F338" s="4">
        <v>0</v>
      </c>
      <c r="G338" s="4">
        <v>0</v>
      </c>
    </row>
    <row r="339" spans="1:7" ht="15" customHeight="1">
      <c r="A339" s="14"/>
      <c r="B339" s="15" t="s">
        <v>635</v>
      </c>
      <c r="C339" s="4">
        <f t="shared" si="5"/>
        <v>200</v>
      </c>
      <c r="D339" s="4">
        <v>0</v>
      </c>
      <c r="E339" s="4">
        <v>0</v>
      </c>
      <c r="F339" s="4">
        <f>200</f>
        <v>200</v>
      </c>
      <c r="G339" s="4">
        <v>0</v>
      </c>
    </row>
    <row r="340" spans="1:7" ht="15" customHeight="1">
      <c r="A340" s="14"/>
      <c r="B340" s="15" t="s">
        <v>609</v>
      </c>
      <c r="C340" s="4">
        <f t="shared" si="5"/>
        <v>200</v>
      </c>
      <c r="D340" s="4">
        <v>0</v>
      </c>
      <c r="E340" s="4">
        <v>0</v>
      </c>
      <c r="F340" s="4">
        <f>200</f>
        <v>200</v>
      </c>
      <c r="G340" s="4">
        <v>0</v>
      </c>
    </row>
    <row r="341" spans="1:7" ht="15" customHeight="1">
      <c r="A341" s="14"/>
      <c r="B341" s="15" t="s">
        <v>454</v>
      </c>
      <c r="C341" s="4">
        <f t="shared" si="5"/>
        <v>200</v>
      </c>
      <c r="D341" s="4">
        <f>200</f>
        <v>200</v>
      </c>
      <c r="E341" s="4">
        <v>0</v>
      </c>
      <c r="F341" s="4">
        <v>0</v>
      </c>
      <c r="G341" s="4">
        <v>0</v>
      </c>
    </row>
    <row r="342" spans="1:7" ht="15" customHeight="1">
      <c r="A342" s="14"/>
      <c r="B342" s="15" t="s">
        <v>628</v>
      </c>
      <c r="C342" s="4">
        <f t="shared" si="5"/>
        <v>200</v>
      </c>
      <c r="D342" s="4">
        <v>0</v>
      </c>
      <c r="E342" s="4">
        <v>0</v>
      </c>
      <c r="F342" s="4">
        <f>200</f>
        <v>200</v>
      </c>
      <c r="G342" s="4">
        <v>0</v>
      </c>
    </row>
    <row r="343" spans="1:7" ht="15" customHeight="1">
      <c r="A343" s="14"/>
      <c r="B343" s="15" t="s">
        <v>669</v>
      </c>
      <c r="C343" s="4">
        <f t="shared" si="5"/>
        <v>200</v>
      </c>
      <c r="D343" s="4">
        <v>0</v>
      </c>
      <c r="E343" s="4">
        <v>0</v>
      </c>
      <c r="F343" s="4">
        <v>0</v>
      </c>
      <c r="G343" s="4">
        <f>200</f>
        <v>200</v>
      </c>
    </row>
    <row r="344" spans="1:7" ht="15" customHeight="1">
      <c r="A344" s="14"/>
      <c r="B344" s="15" t="s">
        <v>670</v>
      </c>
      <c r="C344" s="4">
        <f t="shared" si="5"/>
        <v>175</v>
      </c>
      <c r="D344" s="4">
        <v>0</v>
      </c>
      <c r="E344" s="4">
        <v>0</v>
      </c>
      <c r="F344" s="4">
        <v>0</v>
      </c>
      <c r="G344" s="4">
        <f>175</f>
        <v>175</v>
      </c>
    </row>
    <row r="345" spans="1:7" ht="15" customHeight="1">
      <c r="A345" s="14"/>
      <c r="B345" s="14" t="s">
        <v>658</v>
      </c>
      <c r="C345" s="4">
        <f t="shared" si="5"/>
        <v>175</v>
      </c>
      <c r="D345" s="4">
        <v>0</v>
      </c>
      <c r="E345" s="4">
        <v>0</v>
      </c>
      <c r="F345" s="4">
        <v>0</v>
      </c>
      <c r="G345" s="4">
        <f>175</f>
        <v>175</v>
      </c>
    </row>
    <row r="346" spans="1:7" ht="15" customHeight="1">
      <c r="A346" s="14"/>
      <c r="B346" s="15" t="s">
        <v>165</v>
      </c>
      <c r="C346" s="4">
        <f t="shared" si="5"/>
        <v>175</v>
      </c>
      <c r="D346" s="4">
        <v>0</v>
      </c>
      <c r="E346" s="4">
        <f>175</f>
        <v>175</v>
      </c>
      <c r="F346" s="4">
        <v>0</v>
      </c>
      <c r="G346" s="4">
        <v>0</v>
      </c>
    </row>
    <row r="347" spans="1:7" ht="15" customHeight="1">
      <c r="A347" s="14"/>
      <c r="B347" s="15" t="s">
        <v>547</v>
      </c>
      <c r="C347" s="4">
        <f t="shared" si="5"/>
        <v>175</v>
      </c>
      <c r="D347" s="4">
        <v>0</v>
      </c>
      <c r="E347" s="4">
        <f>175</f>
        <v>175</v>
      </c>
      <c r="F347" s="4">
        <v>0</v>
      </c>
      <c r="G347" s="4">
        <v>0</v>
      </c>
    </row>
    <row r="348" spans="1:7" ht="15" customHeight="1">
      <c r="A348" s="14"/>
      <c r="B348" s="15" t="s">
        <v>442</v>
      </c>
      <c r="C348" s="4">
        <f t="shared" si="5"/>
        <v>175</v>
      </c>
      <c r="D348" s="4">
        <f>175</f>
        <v>175</v>
      </c>
      <c r="E348" s="4">
        <v>0</v>
      </c>
      <c r="F348" s="4">
        <v>0</v>
      </c>
      <c r="G348" s="4">
        <v>0</v>
      </c>
    </row>
    <row r="349" spans="1:7" ht="15" customHeight="1">
      <c r="A349" s="14"/>
      <c r="B349" s="15" t="s">
        <v>486</v>
      </c>
      <c r="C349" s="4">
        <f t="shared" si="5"/>
        <v>175</v>
      </c>
      <c r="D349" s="4">
        <f>175</f>
        <v>175</v>
      </c>
      <c r="E349" s="4">
        <v>0</v>
      </c>
      <c r="F349" s="4">
        <v>0</v>
      </c>
      <c r="G349" s="4">
        <v>0</v>
      </c>
    </row>
    <row r="350" spans="1:7" ht="15" customHeight="1">
      <c r="A350" s="14"/>
      <c r="B350" s="15" t="s">
        <v>528</v>
      </c>
      <c r="C350" s="4">
        <f t="shared" si="5"/>
        <v>175</v>
      </c>
      <c r="D350" s="4">
        <v>0</v>
      </c>
      <c r="E350" s="4">
        <f>175</f>
        <v>175</v>
      </c>
      <c r="F350" s="4">
        <v>0</v>
      </c>
      <c r="G350" s="4">
        <v>0</v>
      </c>
    </row>
    <row r="351" spans="1:7" ht="15" customHeight="1">
      <c r="A351" s="14"/>
      <c r="B351" s="15" t="s">
        <v>653</v>
      </c>
      <c r="C351" s="4">
        <f t="shared" si="5"/>
        <v>175</v>
      </c>
      <c r="D351" s="4">
        <v>0</v>
      </c>
      <c r="E351" s="4">
        <v>0</v>
      </c>
      <c r="F351" s="4">
        <v>0</v>
      </c>
      <c r="G351" s="4">
        <f>175</f>
        <v>175</v>
      </c>
    </row>
    <row r="352" spans="1:7" ht="15" customHeight="1">
      <c r="A352" s="14"/>
      <c r="B352" s="15" t="s">
        <v>623</v>
      </c>
      <c r="C352" s="4">
        <f t="shared" si="5"/>
        <v>175</v>
      </c>
      <c r="D352" s="4">
        <v>0</v>
      </c>
      <c r="E352" s="4">
        <v>0</v>
      </c>
      <c r="F352" s="4">
        <f>175</f>
        <v>175</v>
      </c>
      <c r="G352" s="4">
        <v>0</v>
      </c>
    </row>
    <row r="353" spans="1:7" ht="15" customHeight="1">
      <c r="A353" s="14"/>
      <c r="B353" s="15" t="s">
        <v>511</v>
      </c>
      <c r="C353" s="4">
        <f t="shared" si="5"/>
        <v>175</v>
      </c>
      <c r="D353" s="4">
        <v>0</v>
      </c>
      <c r="E353" s="4">
        <f>175</f>
        <v>175</v>
      </c>
      <c r="F353" s="4">
        <v>0</v>
      </c>
      <c r="G353" s="4">
        <v>0</v>
      </c>
    </row>
    <row r="354" spans="1:7" ht="15" customHeight="1">
      <c r="A354" s="14"/>
      <c r="B354" s="15" t="s">
        <v>506</v>
      </c>
      <c r="C354" s="4">
        <f t="shared" si="5"/>
        <v>175</v>
      </c>
      <c r="D354" s="4">
        <v>0</v>
      </c>
      <c r="E354" s="4">
        <f>175</f>
        <v>175</v>
      </c>
      <c r="F354" s="4">
        <v>0</v>
      </c>
      <c r="G354" s="4">
        <v>0</v>
      </c>
    </row>
    <row r="355" spans="1:7" ht="15" customHeight="1">
      <c r="A355" s="14"/>
      <c r="B355" s="15" t="s">
        <v>629</v>
      </c>
      <c r="C355" s="4">
        <f t="shared" si="5"/>
        <v>175</v>
      </c>
      <c r="D355" s="4">
        <v>0</v>
      </c>
      <c r="E355" s="4">
        <v>0</v>
      </c>
      <c r="F355" s="4">
        <f>175</f>
        <v>175</v>
      </c>
      <c r="G355" s="4">
        <v>0</v>
      </c>
    </row>
    <row r="356" spans="1:7" ht="15" customHeight="1">
      <c r="A356" s="14"/>
      <c r="B356" s="15" t="s">
        <v>509</v>
      </c>
      <c r="C356" s="4">
        <f t="shared" si="5"/>
        <v>175</v>
      </c>
      <c r="D356" s="4">
        <v>0</v>
      </c>
      <c r="E356" s="4">
        <f>175</f>
        <v>175</v>
      </c>
      <c r="F356" s="4">
        <v>0</v>
      </c>
      <c r="G356" s="4">
        <v>0</v>
      </c>
    </row>
    <row r="357" spans="1:7" ht="15" customHeight="1">
      <c r="A357" s="14"/>
      <c r="B357" s="15" t="s">
        <v>690</v>
      </c>
      <c r="C357" s="4">
        <f t="shared" si="5"/>
        <v>175</v>
      </c>
      <c r="D357" s="4">
        <v>0</v>
      </c>
      <c r="E357" s="4">
        <v>0</v>
      </c>
      <c r="F357" s="4">
        <v>0</v>
      </c>
      <c r="G357" s="4">
        <f>175</f>
        <v>175</v>
      </c>
    </row>
    <row r="358" spans="1:7" ht="15" customHeight="1">
      <c r="A358" s="14"/>
      <c r="B358" s="15" t="s">
        <v>642</v>
      </c>
      <c r="C358" s="4">
        <f t="shared" si="5"/>
        <v>160</v>
      </c>
      <c r="D358" s="4">
        <v>0</v>
      </c>
      <c r="E358" s="4">
        <v>0</v>
      </c>
      <c r="F358" s="4">
        <f>160</f>
        <v>160</v>
      </c>
      <c r="G358" s="4">
        <v>0</v>
      </c>
    </row>
    <row r="359" spans="1:7" ht="15" customHeight="1">
      <c r="A359" s="14"/>
      <c r="B359" s="15" t="s">
        <v>663</v>
      </c>
      <c r="C359" s="4">
        <f t="shared" si="5"/>
        <v>160</v>
      </c>
      <c r="D359" s="4">
        <v>0</v>
      </c>
      <c r="E359" s="28">
        <v>0</v>
      </c>
      <c r="F359" s="4">
        <v>0</v>
      </c>
      <c r="G359" s="4">
        <f>160</f>
        <v>160</v>
      </c>
    </row>
    <row r="360" spans="1:7" ht="15" customHeight="1">
      <c r="A360" s="14"/>
      <c r="B360" s="15" t="s">
        <v>529</v>
      </c>
      <c r="C360" s="4">
        <f t="shared" si="5"/>
        <v>160</v>
      </c>
      <c r="D360" s="4">
        <v>0</v>
      </c>
      <c r="E360" s="4">
        <f>160</f>
        <v>160</v>
      </c>
      <c r="F360" s="4">
        <v>0</v>
      </c>
      <c r="G360" s="4">
        <v>0</v>
      </c>
    </row>
    <row r="361" spans="1:7" ht="15" customHeight="1">
      <c r="A361" s="14"/>
      <c r="B361" s="15" t="s">
        <v>461</v>
      </c>
      <c r="C361" s="4">
        <f t="shared" si="5"/>
        <v>160</v>
      </c>
      <c r="D361" s="4">
        <f>160</f>
        <v>160</v>
      </c>
      <c r="E361" s="4">
        <v>0</v>
      </c>
      <c r="F361" s="4">
        <v>0</v>
      </c>
      <c r="G361" s="4">
        <v>0</v>
      </c>
    </row>
    <row r="362" spans="1:7" ht="15" customHeight="1">
      <c r="A362" s="14"/>
      <c r="B362" s="15" t="s">
        <v>659</v>
      </c>
      <c r="C362" s="4">
        <f t="shared" si="5"/>
        <v>160</v>
      </c>
      <c r="D362" s="4">
        <v>0</v>
      </c>
      <c r="E362" s="4">
        <v>0</v>
      </c>
      <c r="F362" s="4">
        <v>0</v>
      </c>
      <c r="G362" s="4">
        <f>160</f>
        <v>160</v>
      </c>
    </row>
    <row r="363" spans="1:7" ht="15" customHeight="1">
      <c r="A363" s="14"/>
      <c r="B363" s="15" t="s">
        <v>458</v>
      </c>
      <c r="C363" s="4">
        <f t="shared" si="5"/>
        <v>160</v>
      </c>
      <c r="D363" s="4">
        <f>160</f>
        <v>160</v>
      </c>
      <c r="E363" s="4">
        <v>0</v>
      </c>
      <c r="F363" s="4">
        <v>0</v>
      </c>
      <c r="G363" s="4">
        <v>0</v>
      </c>
    </row>
    <row r="364" spans="1:7" ht="15" customHeight="1">
      <c r="A364" s="14"/>
      <c r="B364" s="15" t="s">
        <v>583</v>
      </c>
      <c r="C364" s="4">
        <f t="shared" si="5"/>
        <v>160</v>
      </c>
      <c r="D364" s="4">
        <v>0</v>
      </c>
      <c r="E364" s="4">
        <v>0</v>
      </c>
      <c r="F364" s="4">
        <f>160</f>
        <v>160</v>
      </c>
      <c r="G364" s="4">
        <v>0</v>
      </c>
    </row>
    <row r="365" spans="1:7" ht="15" customHeight="1">
      <c r="A365" s="14"/>
      <c r="B365" s="15" t="s">
        <v>523</v>
      </c>
      <c r="C365" s="4">
        <f t="shared" si="5"/>
        <v>160</v>
      </c>
      <c r="D365" s="4">
        <v>0</v>
      </c>
      <c r="E365" s="4">
        <f>160</f>
        <v>160</v>
      </c>
      <c r="F365" s="4">
        <v>0</v>
      </c>
      <c r="G365" s="4">
        <v>0</v>
      </c>
    </row>
    <row r="366" spans="1:7" ht="15" customHeight="1">
      <c r="A366" s="14"/>
      <c r="B366" s="15" t="s">
        <v>467</v>
      </c>
      <c r="C366" s="4">
        <f t="shared" si="5"/>
        <v>160</v>
      </c>
      <c r="D366" s="4">
        <f>160</f>
        <v>160</v>
      </c>
      <c r="E366" s="4">
        <v>0</v>
      </c>
      <c r="F366" s="4">
        <v>0</v>
      </c>
      <c r="G366" s="4">
        <v>0</v>
      </c>
    </row>
    <row r="367" spans="1:7" ht="15" customHeight="1">
      <c r="A367" s="14"/>
      <c r="B367" s="15" t="s">
        <v>654</v>
      </c>
      <c r="C367" s="4">
        <f t="shared" si="5"/>
        <v>160</v>
      </c>
      <c r="D367" s="4">
        <v>0</v>
      </c>
      <c r="E367" s="4">
        <v>0</v>
      </c>
      <c r="F367" s="4">
        <v>0</v>
      </c>
      <c r="G367" s="4">
        <f>160</f>
        <v>160</v>
      </c>
    </row>
    <row r="368" spans="1:7" ht="15" customHeight="1">
      <c r="A368" s="14"/>
      <c r="B368" s="15" t="s">
        <v>483</v>
      </c>
      <c r="C368" s="4">
        <f t="shared" si="5"/>
        <v>160</v>
      </c>
      <c r="D368" s="4">
        <f>160</f>
        <v>160</v>
      </c>
      <c r="E368" s="4">
        <v>0</v>
      </c>
      <c r="F368" s="4">
        <v>0</v>
      </c>
      <c r="G368" s="4">
        <v>0</v>
      </c>
    </row>
    <row r="369" spans="1:7" ht="15" customHeight="1">
      <c r="A369" s="14"/>
      <c r="B369" s="15" t="s">
        <v>611</v>
      </c>
      <c r="C369" s="4">
        <f t="shared" si="5"/>
        <v>160</v>
      </c>
      <c r="D369" s="4">
        <v>0</v>
      </c>
      <c r="E369" s="4">
        <v>0</v>
      </c>
      <c r="F369" s="4">
        <f>160</f>
        <v>160</v>
      </c>
      <c r="G369" s="4">
        <v>0</v>
      </c>
    </row>
    <row r="370" spans="1:7" ht="15" customHeight="1">
      <c r="A370" s="14"/>
      <c r="B370" s="15" t="s">
        <v>638</v>
      </c>
      <c r="C370" s="4">
        <f t="shared" si="5"/>
        <v>160</v>
      </c>
      <c r="D370" s="4">
        <v>0</v>
      </c>
      <c r="E370" s="4">
        <v>0</v>
      </c>
      <c r="F370" s="4">
        <f>160</f>
        <v>160</v>
      </c>
      <c r="G370" s="4">
        <v>0</v>
      </c>
    </row>
    <row r="371" spans="1:7" ht="15" customHeight="1">
      <c r="A371" s="14"/>
      <c r="B371" s="15" t="s">
        <v>552</v>
      </c>
      <c r="C371" s="4">
        <f t="shared" si="5"/>
        <v>160</v>
      </c>
      <c r="D371" s="4">
        <v>0</v>
      </c>
      <c r="E371" s="4">
        <f>160</f>
        <v>160</v>
      </c>
      <c r="F371" s="4">
        <v>0</v>
      </c>
      <c r="G371" s="4">
        <v>0</v>
      </c>
    </row>
    <row r="372" spans="1:7" ht="15" customHeight="1">
      <c r="A372" s="14"/>
      <c r="B372" s="15" t="s">
        <v>684</v>
      </c>
      <c r="C372" s="4">
        <f t="shared" si="5"/>
        <v>160</v>
      </c>
      <c r="D372" s="4">
        <v>0</v>
      </c>
      <c r="E372" s="4">
        <v>0</v>
      </c>
      <c r="F372" s="4">
        <v>0</v>
      </c>
      <c r="G372" s="4">
        <f>160</f>
        <v>160</v>
      </c>
    </row>
    <row r="373" spans="1:7" ht="15" customHeight="1">
      <c r="A373" s="14"/>
      <c r="B373" s="15" t="s">
        <v>459</v>
      </c>
      <c r="C373" s="4">
        <f t="shared" si="5"/>
        <v>145</v>
      </c>
      <c r="D373" s="4">
        <f>145</f>
        <v>145</v>
      </c>
      <c r="E373" s="4">
        <v>0</v>
      </c>
      <c r="F373" s="4">
        <v>0</v>
      </c>
      <c r="G373" s="4">
        <v>0</v>
      </c>
    </row>
    <row r="374" spans="1:7" ht="15" customHeight="1">
      <c r="A374" s="14"/>
      <c r="B374" s="15" t="s">
        <v>124</v>
      </c>
      <c r="C374" s="4">
        <f t="shared" si="5"/>
        <v>145</v>
      </c>
      <c r="D374" s="4">
        <v>0</v>
      </c>
      <c r="E374" s="28">
        <f>145</f>
        <v>145</v>
      </c>
      <c r="F374" s="4">
        <v>0</v>
      </c>
      <c r="G374" s="4">
        <v>0</v>
      </c>
    </row>
    <row r="375" spans="1:7" ht="15" customHeight="1">
      <c r="A375" s="14"/>
      <c r="B375" s="15" t="s">
        <v>645</v>
      </c>
      <c r="C375" s="4">
        <f t="shared" si="5"/>
        <v>145</v>
      </c>
      <c r="D375" s="4">
        <v>0</v>
      </c>
      <c r="E375" s="4">
        <v>0</v>
      </c>
      <c r="F375" s="4">
        <v>0</v>
      </c>
      <c r="G375" s="4">
        <f>145</f>
        <v>145</v>
      </c>
    </row>
    <row r="376" spans="1:7" ht="15" customHeight="1">
      <c r="A376" s="14"/>
      <c r="B376" s="15" t="s">
        <v>672</v>
      </c>
      <c r="C376" s="4">
        <f t="shared" si="5"/>
        <v>145</v>
      </c>
      <c r="D376" s="4">
        <v>0</v>
      </c>
      <c r="E376" s="4">
        <v>0</v>
      </c>
      <c r="F376" s="4">
        <v>0</v>
      </c>
      <c r="G376" s="4">
        <f>145</f>
        <v>145</v>
      </c>
    </row>
    <row r="377" spans="1:7" ht="15" customHeight="1">
      <c r="A377" s="14"/>
      <c r="B377" s="15" t="s">
        <v>685</v>
      </c>
      <c r="C377" s="4">
        <f t="shared" si="5"/>
        <v>145</v>
      </c>
      <c r="D377" s="4">
        <v>0</v>
      </c>
      <c r="E377" s="4">
        <v>0</v>
      </c>
      <c r="F377" s="4">
        <v>0</v>
      </c>
      <c r="G377" s="4">
        <f>145</f>
        <v>145</v>
      </c>
    </row>
    <row r="378" spans="1:7" ht="15" customHeight="1">
      <c r="A378" s="14"/>
      <c r="B378" s="15" t="s">
        <v>692</v>
      </c>
      <c r="C378" s="4">
        <f t="shared" si="5"/>
        <v>145</v>
      </c>
      <c r="D378" s="4">
        <v>0</v>
      </c>
      <c r="E378" s="4">
        <v>0</v>
      </c>
      <c r="F378" s="4">
        <v>0</v>
      </c>
      <c r="G378" s="4">
        <f>145</f>
        <v>145</v>
      </c>
    </row>
    <row r="379" spans="1:7" ht="15" customHeight="1">
      <c r="A379" s="14"/>
      <c r="B379" s="15" t="s">
        <v>604</v>
      </c>
      <c r="C379" s="4">
        <f t="shared" si="5"/>
        <v>145</v>
      </c>
      <c r="D379" s="4">
        <v>0</v>
      </c>
      <c r="E379" s="4">
        <v>0</v>
      </c>
      <c r="F379" s="4">
        <f>145</f>
        <v>145</v>
      </c>
      <c r="G379" s="4">
        <v>0</v>
      </c>
    </row>
    <row r="380" spans="1:7" ht="15" customHeight="1">
      <c r="A380" s="14"/>
      <c r="B380" s="15" t="s">
        <v>537</v>
      </c>
      <c r="C380" s="4">
        <f t="shared" si="5"/>
        <v>145</v>
      </c>
      <c r="D380" s="4">
        <v>0</v>
      </c>
      <c r="E380" s="4">
        <f>145</f>
        <v>145</v>
      </c>
      <c r="F380" s="4">
        <v>0</v>
      </c>
      <c r="G380" s="4">
        <v>0</v>
      </c>
    </row>
    <row r="381" spans="1:7" ht="15" customHeight="1">
      <c r="A381" s="14"/>
      <c r="B381" s="15" t="s">
        <v>700</v>
      </c>
      <c r="C381" s="4">
        <f t="shared" si="5"/>
        <v>145</v>
      </c>
      <c r="D381" s="4">
        <v>0</v>
      </c>
      <c r="E381" s="4">
        <v>0</v>
      </c>
      <c r="F381" s="4">
        <v>0</v>
      </c>
      <c r="G381" s="4">
        <v>145</v>
      </c>
    </row>
    <row r="382" spans="1:7" ht="15" customHeight="1">
      <c r="A382" s="14"/>
      <c r="B382" s="15" t="s">
        <v>557</v>
      </c>
      <c r="C382" s="4">
        <f t="shared" si="5"/>
        <v>145</v>
      </c>
      <c r="D382" s="4">
        <v>0</v>
      </c>
      <c r="E382" s="4">
        <f>145</f>
        <v>145</v>
      </c>
      <c r="F382" s="4">
        <v>0</v>
      </c>
      <c r="G382" s="4">
        <v>0</v>
      </c>
    </row>
    <row r="383" spans="1:7" ht="15" customHeight="1">
      <c r="A383" s="14"/>
      <c r="B383" s="15" t="s">
        <v>548</v>
      </c>
      <c r="C383" s="4">
        <f t="shared" si="5"/>
        <v>145</v>
      </c>
      <c r="D383" s="4">
        <v>0</v>
      </c>
      <c r="E383" s="4">
        <f>145</f>
        <v>145</v>
      </c>
      <c r="F383" s="4">
        <v>0</v>
      </c>
      <c r="G383" s="4">
        <v>0</v>
      </c>
    </row>
    <row r="384" spans="1:7" ht="15" customHeight="1">
      <c r="A384" s="14"/>
      <c r="B384" s="15" t="s">
        <v>507</v>
      </c>
      <c r="C384" s="4">
        <f t="shared" si="5"/>
        <v>145</v>
      </c>
      <c r="D384" s="4">
        <v>0</v>
      </c>
      <c r="E384" s="4">
        <f>145</f>
        <v>145</v>
      </c>
      <c r="F384" s="4">
        <v>0</v>
      </c>
      <c r="G384" s="4">
        <v>0</v>
      </c>
    </row>
    <row r="385" spans="1:7" ht="15" customHeight="1">
      <c r="A385" s="14"/>
      <c r="B385" s="15" t="s">
        <v>655</v>
      </c>
      <c r="C385" s="4">
        <f t="shared" si="5"/>
        <v>145</v>
      </c>
      <c r="D385" s="4">
        <v>0</v>
      </c>
      <c r="E385" s="4">
        <v>0</v>
      </c>
      <c r="F385" s="4">
        <v>0</v>
      </c>
      <c r="G385" s="4">
        <f>145</f>
        <v>145</v>
      </c>
    </row>
    <row r="386" spans="1:7" ht="15" customHeight="1">
      <c r="A386" s="14"/>
      <c r="B386" s="15" t="s">
        <v>455</v>
      </c>
      <c r="C386" s="4">
        <f t="shared" si="5"/>
        <v>145</v>
      </c>
      <c r="D386" s="4">
        <f>145</f>
        <v>145</v>
      </c>
      <c r="E386" s="4">
        <v>0</v>
      </c>
      <c r="F386" s="4">
        <v>0</v>
      </c>
      <c r="G386" s="4">
        <v>0</v>
      </c>
    </row>
    <row r="387" spans="1:7" ht="15" customHeight="1">
      <c r="A387" s="14"/>
      <c r="B387" s="15" t="s">
        <v>515</v>
      </c>
      <c r="C387" s="4">
        <f t="shared" si="5"/>
        <v>145</v>
      </c>
      <c r="D387" s="4">
        <v>0</v>
      </c>
      <c r="E387" s="4">
        <f>145</f>
        <v>145</v>
      </c>
      <c r="F387" s="4">
        <v>0</v>
      </c>
      <c r="G387" s="4">
        <v>0</v>
      </c>
    </row>
    <row r="388" spans="1:7" ht="15" customHeight="1">
      <c r="A388" s="14"/>
      <c r="B388" s="15" t="s">
        <v>660</v>
      </c>
      <c r="C388" s="4">
        <f t="shared" si="5"/>
        <v>145</v>
      </c>
      <c r="D388" s="4">
        <v>0</v>
      </c>
      <c r="E388" s="4">
        <v>0</v>
      </c>
      <c r="F388" s="4">
        <v>0</v>
      </c>
      <c r="G388" s="4">
        <f>145</f>
        <v>145</v>
      </c>
    </row>
    <row r="389" spans="1:7" ht="15" customHeight="1">
      <c r="A389" s="14"/>
      <c r="B389" s="15" t="s">
        <v>682</v>
      </c>
      <c r="C389" s="4">
        <f t="shared" si="5"/>
        <v>145</v>
      </c>
      <c r="D389" s="4">
        <v>0</v>
      </c>
      <c r="E389" s="4">
        <v>0</v>
      </c>
      <c r="F389" s="4">
        <v>0</v>
      </c>
      <c r="G389" s="4">
        <f>145</f>
        <v>145</v>
      </c>
    </row>
    <row r="390" spans="1:7" ht="15" customHeight="1">
      <c r="A390" s="14"/>
      <c r="B390" s="15" t="s">
        <v>589</v>
      </c>
      <c r="C390" s="4">
        <f t="shared" si="5"/>
        <v>130</v>
      </c>
      <c r="D390" s="4">
        <v>0</v>
      </c>
      <c r="E390" s="4">
        <v>0</v>
      </c>
      <c r="F390" s="4">
        <f>130</f>
        <v>130</v>
      </c>
      <c r="G390" s="4">
        <v>0</v>
      </c>
    </row>
    <row r="391" spans="1:7" ht="15" customHeight="1">
      <c r="A391" s="14"/>
      <c r="B391" s="15" t="s">
        <v>579</v>
      </c>
      <c r="C391" s="4">
        <f t="shared" si="5"/>
        <v>130</v>
      </c>
      <c r="D391" s="4">
        <v>0</v>
      </c>
      <c r="E391" s="4">
        <f>130</f>
        <v>130</v>
      </c>
      <c r="F391" s="4">
        <v>0</v>
      </c>
      <c r="G391" s="4">
        <v>0</v>
      </c>
    </row>
    <row r="392" spans="1:7" ht="15" customHeight="1">
      <c r="A392" s="14"/>
      <c r="B392" s="15" t="s">
        <v>417</v>
      </c>
      <c r="C392" s="4">
        <f t="shared" si="5"/>
        <v>130</v>
      </c>
      <c r="D392" s="4">
        <f>130</f>
        <v>130</v>
      </c>
      <c r="E392" s="4">
        <v>0</v>
      </c>
      <c r="F392" s="4">
        <v>0</v>
      </c>
      <c r="G392" s="4">
        <v>0</v>
      </c>
    </row>
    <row r="393" spans="1:7" ht="15" customHeight="1">
      <c r="A393" s="14"/>
      <c r="B393" s="15" t="s">
        <v>661</v>
      </c>
      <c r="C393" s="4">
        <f aca="true" t="shared" si="6" ref="C393:C406">D393+E393+F393+G393</f>
        <v>130</v>
      </c>
      <c r="D393" s="4">
        <v>0</v>
      </c>
      <c r="E393" s="4">
        <v>0</v>
      </c>
      <c r="F393" s="4">
        <v>0</v>
      </c>
      <c r="G393" s="4">
        <f>130</f>
        <v>130</v>
      </c>
    </row>
    <row r="394" spans="1:7" ht="15" customHeight="1">
      <c r="A394" s="14"/>
      <c r="B394" s="15" t="s">
        <v>558</v>
      </c>
      <c r="C394" s="4">
        <f t="shared" si="6"/>
        <v>130</v>
      </c>
      <c r="D394" s="4">
        <v>0</v>
      </c>
      <c r="E394" s="4">
        <f>130</f>
        <v>130</v>
      </c>
      <c r="F394" s="4">
        <v>0</v>
      </c>
      <c r="G394" s="4">
        <v>0</v>
      </c>
    </row>
    <row r="395" spans="1:7" ht="15" customHeight="1">
      <c r="A395" s="14"/>
      <c r="B395" s="15" t="s">
        <v>477</v>
      </c>
      <c r="C395" s="4">
        <f t="shared" si="6"/>
        <v>130</v>
      </c>
      <c r="D395" s="4">
        <f>130</f>
        <v>130</v>
      </c>
      <c r="E395" s="4">
        <v>0</v>
      </c>
      <c r="F395" s="4">
        <v>0</v>
      </c>
      <c r="G395" s="4">
        <v>0</v>
      </c>
    </row>
    <row r="396" spans="1:7" ht="15" customHeight="1">
      <c r="A396" s="14"/>
      <c r="B396" s="15" t="s">
        <v>643</v>
      </c>
      <c r="C396" s="4">
        <f t="shared" si="6"/>
        <v>130</v>
      </c>
      <c r="D396" s="4">
        <v>0</v>
      </c>
      <c r="E396" s="4">
        <v>0</v>
      </c>
      <c r="F396" s="4">
        <f>130</f>
        <v>130</v>
      </c>
      <c r="G396" s="4">
        <v>0</v>
      </c>
    </row>
    <row r="397" spans="1:7" ht="15" customHeight="1">
      <c r="A397" s="14"/>
      <c r="B397" s="15" t="s">
        <v>29</v>
      </c>
      <c r="C397" s="4">
        <f t="shared" si="6"/>
        <v>130</v>
      </c>
      <c r="D397" s="4">
        <f>130</f>
        <v>130</v>
      </c>
      <c r="E397" s="4">
        <v>0</v>
      </c>
      <c r="F397" s="4">
        <v>0</v>
      </c>
      <c r="G397" s="4">
        <v>0</v>
      </c>
    </row>
    <row r="398" spans="1:7" ht="15" customHeight="1">
      <c r="A398" s="14"/>
      <c r="B398" s="15" t="s">
        <v>602</v>
      </c>
      <c r="C398" s="4">
        <f t="shared" si="6"/>
        <v>130</v>
      </c>
      <c r="D398" s="4">
        <v>0</v>
      </c>
      <c r="E398" s="4">
        <v>0</v>
      </c>
      <c r="F398" s="4">
        <f>130</f>
        <v>130</v>
      </c>
      <c r="G398" s="4">
        <v>0</v>
      </c>
    </row>
    <row r="399" spans="1:7" ht="15" customHeight="1">
      <c r="A399" s="14"/>
      <c r="B399" s="15" t="s">
        <v>592</v>
      </c>
      <c r="C399" s="4">
        <f t="shared" si="6"/>
        <v>130</v>
      </c>
      <c r="D399" s="4">
        <v>0</v>
      </c>
      <c r="E399" s="4">
        <v>0</v>
      </c>
      <c r="F399" s="4">
        <f>130</f>
        <v>130</v>
      </c>
      <c r="G399" s="4">
        <v>0</v>
      </c>
    </row>
    <row r="400" spans="1:7" ht="15" customHeight="1">
      <c r="A400" s="14"/>
      <c r="B400" s="15" t="s">
        <v>541</v>
      </c>
      <c r="C400" s="4">
        <f t="shared" si="6"/>
        <v>115</v>
      </c>
      <c r="D400" s="4">
        <v>0</v>
      </c>
      <c r="E400" s="4">
        <f>115</f>
        <v>115</v>
      </c>
      <c r="F400" s="4">
        <v>0</v>
      </c>
      <c r="G400" s="4">
        <v>0</v>
      </c>
    </row>
    <row r="401" spans="1:7" ht="15" customHeight="1">
      <c r="A401" s="14"/>
      <c r="B401" s="15" t="s">
        <v>535</v>
      </c>
      <c r="C401" s="4">
        <f t="shared" si="6"/>
        <v>115</v>
      </c>
      <c r="D401" s="4">
        <v>0</v>
      </c>
      <c r="E401" s="4">
        <f>115</f>
        <v>115</v>
      </c>
      <c r="F401" s="4">
        <v>0</v>
      </c>
      <c r="G401" s="4">
        <v>0</v>
      </c>
    </row>
    <row r="402" spans="1:7" ht="15" customHeight="1">
      <c r="A402" s="14"/>
      <c r="B402" s="15" t="s">
        <v>460</v>
      </c>
      <c r="C402" s="4">
        <f t="shared" si="6"/>
        <v>115</v>
      </c>
      <c r="D402" s="4">
        <f>115</f>
        <v>115</v>
      </c>
      <c r="E402" s="4">
        <v>0</v>
      </c>
      <c r="F402" s="4">
        <v>0</v>
      </c>
      <c r="G402" s="4">
        <v>0</v>
      </c>
    </row>
    <row r="403" spans="1:7" ht="15" customHeight="1">
      <c r="A403" s="14"/>
      <c r="B403" s="15" t="s">
        <v>164</v>
      </c>
      <c r="C403" s="4">
        <f t="shared" si="6"/>
        <v>115</v>
      </c>
      <c r="D403" s="4">
        <v>0</v>
      </c>
      <c r="E403" s="4">
        <v>0</v>
      </c>
      <c r="F403" s="4">
        <f>115</f>
        <v>115</v>
      </c>
      <c r="G403" s="4">
        <v>0</v>
      </c>
    </row>
    <row r="404" spans="1:7" ht="15" customHeight="1">
      <c r="A404" s="14"/>
      <c r="B404" s="15" t="s">
        <v>471</v>
      </c>
      <c r="C404" s="4">
        <f t="shared" si="6"/>
        <v>115</v>
      </c>
      <c r="D404" s="4">
        <f>115</f>
        <v>115</v>
      </c>
      <c r="E404" s="4">
        <v>0</v>
      </c>
      <c r="F404" s="4">
        <v>0</v>
      </c>
      <c r="G404" s="4">
        <v>0</v>
      </c>
    </row>
    <row r="405" spans="1:7" ht="15" customHeight="1">
      <c r="A405" s="14"/>
      <c r="B405" s="15" t="s">
        <v>694</v>
      </c>
      <c r="C405" s="4">
        <f t="shared" si="6"/>
        <v>115</v>
      </c>
      <c r="D405" s="4">
        <v>0</v>
      </c>
      <c r="E405" s="4">
        <v>0</v>
      </c>
      <c r="F405" s="4">
        <v>0</v>
      </c>
      <c r="G405" s="4">
        <f>115</f>
        <v>115</v>
      </c>
    </row>
    <row r="406" spans="1:7" ht="15" customHeight="1">
      <c r="A406" s="14"/>
      <c r="B406" s="15" t="s">
        <v>639</v>
      </c>
      <c r="C406" s="4">
        <f t="shared" si="6"/>
        <v>115</v>
      </c>
      <c r="D406" s="4">
        <v>0</v>
      </c>
      <c r="E406" s="4">
        <v>0</v>
      </c>
      <c r="F406" s="4">
        <f>115</f>
        <v>115</v>
      </c>
      <c r="G406" s="4">
        <v>0</v>
      </c>
    </row>
    <row r="407" spans="1:7" ht="15">
      <c r="A407" s="10"/>
      <c r="B407" s="8"/>
      <c r="C407" s="11"/>
      <c r="D407" s="11"/>
      <c r="E407" s="11"/>
      <c r="F407" s="11"/>
      <c r="G407" s="11"/>
    </row>
    <row r="408" spans="1:7" ht="18.75" customHeight="1">
      <c r="A408" s="30" t="s">
        <v>3</v>
      </c>
      <c r="B408" s="30"/>
      <c r="C408" s="30"/>
      <c r="D408" s="5"/>
      <c r="E408" s="5"/>
      <c r="F408" s="5"/>
      <c r="G408" s="5"/>
    </row>
    <row r="409" spans="1:7" ht="18.75" customHeight="1">
      <c r="A409" s="31" t="s">
        <v>4</v>
      </c>
      <c r="B409" s="32"/>
      <c r="C409" s="32"/>
      <c r="D409" s="6"/>
      <c r="E409" s="6"/>
      <c r="F409" s="6"/>
      <c r="G409" s="6"/>
    </row>
    <row r="410" spans="1:7" ht="18.75" customHeight="1">
      <c r="A410" s="33" t="s">
        <v>5</v>
      </c>
      <c r="B410" s="34"/>
      <c r="C410" s="34"/>
      <c r="D410" s="7"/>
      <c r="E410" s="7"/>
      <c r="F410" s="7"/>
      <c r="G410" s="7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  <row r="419" spans="1:7" ht="12.75">
      <c r="A419" s="9"/>
      <c r="B419" s="9"/>
      <c r="C419" s="9"/>
      <c r="D419" s="9"/>
      <c r="E419" s="9"/>
      <c r="F419" s="9"/>
      <c r="G419" s="9"/>
    </row>
    <row r="420" spans="1:7" ht="12.75">
      <c r="A420" s="9"/>
      <c r="B420" s="9"/>
      <c r="C420" s="9"/>
      <c r="D420" s="9"/>
      <c r="E420" s="9"/>
      <c r="F420" s="9"/>
      <c r="G420" s="9"/>
    </row>
    <row r="421" spans="1:7" ht="12.75">
      <c r="A421" s="9"/>
      <c r="B421" s="9"/>
      <c r="C421" s="9"/>
      <c r="D421" s="9"/>
      <c r="E421" s="9"/>
      <c r="F421" s="9"/>
      <c r="G421" s="9"/>
    </row>
    <row r="422" spans="1:7" ht="12.75">
      <c r="A422" s="9"/>
      <c r="B422" s="9"/>
      <c r="C422" s="9"/>
      <c r="D422" s="9"/>
      <c r="E422" s="9"/>
      <c r="F422" s="9"/>
      <c r="G422" s="9"/>
    </row>
    <row r="423" spans="1:7" ht="12.75">
      <c r="A423" s="9"/>
      <c r="B423" s="9"/>
      <c r="C423" s="9"/>
      <c r="D423" s="9"/>
      <c r="E423" s="9"/>
      <c r="F423" s="9"/>
      <c r="G423" s="9"/>
    </row>
    <row r="424" spans="1:7" ht="12.75">
      <c r="A424" s="9"/>
      <c r="B424" s="9"/>
      <c r="C424" s="9"/>
      <c r="D424" s="9"/>
      <c r="E424" s="9"/>
      <c r="F424" s="9"/>
      <c r="G424" s="9"/>
    </row>
    <row r="425" spans="1:7" ht="12.75">
      <c r="A425" s="9"/>
      <c r="B425" s="9"/>
      <c r="C425" s="9"/>
      <c r="D425" s="9"/>
      <c r="E425" s="9"/>
      <c r="F425" s="9"/>
      <c r="G425" s="9"/>
    </row>
    <row r="426" spans="1:7" ht="12.75">
      <c r="A426" s="9"/>
      <c r="B426" s="9"/>
      <c r="C426" s="9"/>
      <c r="D426" s="9"/>
      <c r="E426" s="9"/>
      <c r="F426" s="9"/>
      <c r="G426" s="9"/>
    </row>
    <row r="427" spans="1:7" ht="12.75">
      <c r="A427" s="9"/>
      <c r="B427" s="9"/>
      <c r="C427" s="9"/>
      <c r="D427" s="9"/>
      <c r="E427" s="9"/>
      <c r="F427" s="9"/>
      <c r="G427" s="9"/>
    </row>
    <row r="428" spans="1:7" ht="12.75">
      <c r="A428" s="9"/>
      <c r="B428" s="9"/>
      <c r="C428" s="9"/>
      <c r="D428" s="9"/>
      <c r="E428" s="9"/>
      <c r="F428" s="9"/>
      <c r="G428" s="9"/>
    </row>
    <row r="429" spans="1:7" ht="12.75">
      <c r="A429" s="9"/>
      <c r="B429" s="9"/>
      <c r="C429" s="9"/>
      <c r="D429" s="9"/>
      <c r="E429" s="9"/>
      <c r="F429" s="9"/>
      <c r="G429" s="9"/>
    </row>
    <row r="430" spans="1:7" ht="12.75">
      <c r="A430" s="9"/>
      <c r="B430" s="9"/>
      <c r="C430" s="9"/>
      <c r="D430" s="9"/>
      <c r="E430" s="9"/>
      <c r="F430" s="9"/>
      <c r="G430" s="9"/>
    </row>
  </sheetData>
  <sheetProtection/>
  <mergeCells count="9">
    <mergeCell ref="A408:C408"/>
    <mergeCell ref="A409:C409"/>
    <mergeCell ref="A410:C410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G95 G3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4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5"/>
      <c r="B1" s="35"/>
      <c r="C1" s="35"/>
      <c r="D1" s="35"/>
      <c r="E1" s="35"/>
      <c r="F1" s="35"/>
      <c r="G1" s="35"/>
    </row>
    <row r="2" spans="1:7" ht="45" customHeight="1">
      <c r="A2" s="36" t="s">
        <v>37</v>
      </c>
      <c r="B2" s="36"/>
      <c r="C2" s="36"/>
      <c r="D2" s="36"/>
      <c r="E2" s="36"/>
      <c r="F2" s="36"/>
      <c r="G2" s="36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7" t="s">
        <v>435</v>
      </c>
      <c r="B4" s="38"/>
      <c r="C4" s="38"/>
      <c r="D4" s="38"/>
      <c r="E4" s="38"/>
      <c r="F4" s="38"/>
      <c r="G4" s="38"/>
    </row>
    <row r="5" spans="1:7" ht="9.75" customHeight="1">
      <c r="A5" s="37"/>
      <c r="B5" s="38"/>
      <c r="C5" s="38"/>
      <c r="D5" s="38"/>
      <c r="E5" s="38"/>
      <c r="F5" s="38"/>
      <c r="G5" s="38"/>
    </row>
    <row r="6" spans="1:7" ht="30" customHeight="1">
      <c r="A6" s="39" t="s">
        <v>447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239</v>
      </c>
      <c r="E8" s="2" t="s">
        <v>240</v>
      </c>
      <c r="F8" s="2" t="s">
        <v>241</v>
      </c>
      <c r="G8" s="2" t="s">
        <v>242</v>
      </c>
      <c r="H8" s="3"/>
    </row>
    <row r="9" spans="1:7" ht="15" customHeight="1">
      <c r="A9" s="16">
        <v>1</v>
      </c>
      <c r="B9" s="17" t="s">
        <v>8</v>
      </c>
      <c r="C9" s="19">
        <f aca="true" t="shared" si="0" ref="C9:C72">D9+E9+F9+G9</f>
        <v>17740</v>
      </c>
      <c r="D9" s="18">
        <f>160+425+325+130+130+225+225+275+325+375+575+575+160+475+200+375+350</f>
        <v>5305</v>
      </c>
      <c r="E9" s="18">
        <f>575+275+350+325+225+275+375+300+575+225+350+160+475+275+350+275</f>
        <v>5385</v>
      </c>
      <c r="F9" s="18">
        <f>145+375+375+275+200+275+375+200+300+475+300</f>
        <v>3295</v>
      </c>
      <c r="G9" s="18">
        <f>375+350+375+300+175+275+375+275+350+160+350+145+250</f>
        <v>3755</v>
      </c>
    </row>
    <row r="10" spans="1:7" ht="15" customHeight="1">
      <c r="A10" s="16">
        <v>2</v>
      </c>
      <c r="B10" s="17" t="s">
        <v>96</v>
      </c>
      <c r="C10" s="19">
        <f t="shared" si="0"/>
        <v>15520</v>
      </c>
      <c r="D10" s="18">
        <f>575+225+130+575+200+475+175+175+475+350+145+425+160</f>
        <v>4085</v>
      </c>
      <c r="E10" s="18">
        <f>200+575+375+115+475+425+575+575+225+325+200+160+300+475</f>
        <v>5000</v>
      </c>
      <c r="F10" s="18">
        <f>575+475+300+225+575+575+475</f>
        <v>3200</v>
      </c>
      <c r="G10" s="18">
        <f>160+275+250+225+575+425+175+325+475+350</f>
        <v>3235</v>
      </c>
    </row>
    <row r="11" spans="1:7" ht="15" customHeight="1">
      <c r="A11" s="16">
        <v>3</v>
      </c>
      <c r="B11" s="17" t="s">
        <v>27</v>
      </c>
      <c r="C11" s="19">
        <f t="shared" si="0"/>
        <v>14765</v>
      </c>
      <c r="D11" s="18">
        <f>250+275+200+350+375+425+425+130+275+375+250+575+300</f>
        <v>4205</v>
      </c>
      <c r="E11" s="23">
        <f>130+130+325+425+475+350+175+300+425</f>
        <v>2735</v>
      </c>
      <c r="F11" s="18">
        <f>300+375+475+575+375+325+300+375+275+475+375+475+325+475+200+325</f>
        <v>6025</v>
      </c>
      <c r="G11" s="18">
        <f>325+475+575+425</f>
        <v>1800</v>
      </c>
    </row>
    <row r="12" spans="1:7" ht="15" customHeight="1">
      <c r="A12" s="16">
        <v>4</v>
      </c>
      <c r="B12" s="17" t="s">
        <v>10</v>
      </c>
      <c r="C12" s="19">
        <f t="shared" si="0"/>
        <v>14230</v>
      </c>
      <c r="D12" s="18">
        <f>325+375+325+275+475+300+200+350+250+325+350+275</f>
        <v>3825</v>
      </c>
      <c r="E12" s="18">
        <f>475+250+350+200+350+200+475+300+250+425+350+425+375+575+325</f>
        <v>5325</v>
      </c>
      <c r="F12" s="18">
        <f>250+225+475+425+250+575+475+250</f>
        <v>2925</v>
      </c>
      <c r="G12" s="18">
        <f>325+575+130+250+200+425+250</f>
        <v>2155</v>
      </c>
    </row>
    <row r="13" spans="1:7" ht="15" customHeight="1">
      <c r="A13" s="16">
        <v>5</v>
      </c>
      <c r="B13" s="17" t="s">
        <v>180</v>
      </c>
      <c r="C13" s="19">
        <f t="shared" si="0"/>
        <v>13785</v>
      </c>
      <c r="D13" s="18">
        <f>375+475+375+250+160+200+200+475+145+130+130</f>
        <v>2915</v>
      </c>
      <c r="E13" s="18">
        <f>130+225+425+575+225+145+275+575+175+475</f>
        <v>3225</v>
      </c>
      <c r="F13" s="18">
        <f>175+275+575+425+275+250+225+575+350+200+250+250+325+425</f>
        <v>4575</v>
      </c>
      <c r="G13" s="18">
        <f>275+275+145+275+225+250+425+325+225+475+175</f>
        <v>3070</v>
      </c>
    </row>
    <row r="14" spans="1:7" ht="15" customHeight="1">
      <c r="A14" s="16">
        <v>6</v>
      </c>
      <c r="B14" s="17" t="s">
        <v>15</v>
      </c>
      <c r="C14" s="19">
        <f t="shared" si="0"/>
        <v>13365</v>
      </c>
      <c r="D14" s="18">
        <f>325+575+425+225+575+425</f>
        <v>2550</v>
      </c>
      <c r="E14" s="18">
        <f>175+250+300+475+325+325+160+325+250</f>
        <v>2585</v>
      </c>
      <c r="F14" s="18">
        <f>350+475+575+375+575+350+475+375+350+350+350+375+375+130+325+375+375</f>
        <v>6555</v>
      </c>
      <c r="G14" s="18">
        <f>200+275+350+375+300+175</f>
        <v>1675</v>
      </c>
    </row>
    <row r="15" spans="1:7" ht="15" customHeight="1">
      <c r="A15" s="16">
        <v>7</v>
      </c>
      <c r="B15" s="17" t="s">
        <v>64</v>
      </c>
      <c r="C15" s="19">
        <f t="shared" si="0"/>
        <v>12145</v>
      </c>
      <c r="D15" s="18">
        <f>200+275+425+225+425+375+130+130+475</f>
        <v>2660</v>
      </c>
      <c r="E15" s="18">
        <f>375+160+200+300+375+300+300+300</f>
        <v>2310</v>
      </c>
      <c r="F15" s="18">
        <f>475+375+160+425+275+145+325+350+145+145+425+225+225</f>
        <v>3695</v>
      </c>
      <c r="G15" s="18">
        <f>375+475+475+275+575+130+225+575+375</f>
        <v>3480</v>
      </c>
    </row>
    <row r="16" spans="1:7" ht="15" customHeight="1">
      <c r="A16" s="16">
        <v>8</v>
      </c>
      <c r="B16" s="17" t="s">
        <v>9</v>
      </c>
      <c r="C16" s="19">
        <f t="shared" si="0"/>
        <v>11430</v>
      </c>
      <c r="D16" s="18">
        <f>200+300+160+160+275+375+225+225</f>
        <v>1920</v>
      </c>
      <c r="E16" s="18">
        <f>325+300+250+425+275+275+130+225+325+475+250+300</f>
        <v>3555</v>
      </c>
      <c r="F16" s="18">
        <f>375+325+145+350+300+250+200+175+225+375+350+375</f>
        <v>3445</v>
      </c>
      <c r="G16" s="18">
        <f>375+160+300+350+350+160+425+275+115</f>
        <v>2510</v>
      </c>
    </row>
    <row r="17" spans="1:7" ht="15" customHeight="1">
      <c r="A17" s="16">
        <v>9</v>
      </c>
      <c r="B17" s="17" t="s">
        <v>31</v>
      </c>
      <c r="C17" s="19">
        <f t="shared" si="0"/>
        <v>11145</v>
      </c>
      <c r="D17" s="18">
        <f>200+475+425+325</f>
        <v>1425</v>
      </c>
      <c r="E17" s="18">
        <f>225+575+300+130+145+225+375+200+350+425+350</f>
        <v>3300</v>
      </c>
      <c r="F17" s="18">
        <f>575+375+575+300+300+475+115+250+350+275+575+130</f>
        <v>4295</v>
      </c>
      <c r="G17" s="18">
        <f>425+325+175+300+425+475</f>
        <v>2125</v>
      </c>
    </row>
    <row r="18" spans="1:7" ht="15" customHeight="1">
      <c r="A18" s="16">
        <v>10</v>
      </c>
      <c r="B18" s="17" t="s">
        <v>22</v>
      </c>
      <c r="C18" s="19">
        <f t="shared" si="0"/>
        <v>9827</v>
      </c>
      <c r="D18" s="18">
        <f>130+350+300+175+130+200+575+250</f>
        <v>2110</v>
      </c>
      <c r="E18" s="18">
        <f>200+575+425+375+115+575+575+475+22+325</f>
        <v>3662</v>
      </c>
      <c r="F18" s="18">
        <f>250+425+425+300+375+575+575</f>
        <v>2925</v>
      </c>
      <c r="G18" s="18">
        <f>425+130+575</f>
        <v>1130</v>
      </c>
    </row>
    <row r="19" spans="1:7" ht="15" customHeight="1">
      <c r="A19" s="16">
        <v>11</v>
      </c>
      <c r="B19" s="17" t="s">
        <v>59</v>
      </c>
      <c r="C19" s="18">
        <f t="shared" si="0"/>
        <v>9805</v>
      </c>
      <c r="D19" s="18">
        <f>575+175+145+350+250+250+375+575+350+375+225+425</f>
        <v>4070</v>
      </c>
      <c r="E19" s="18">
        <f>275+200+350+425+325</f>
        <v>1575</v>
      </c>
      <c r="F19" s="18">
        <f>475+160+350+325+275+175+350+425+350</f>
        <v>2885</v>
      </c>
      <c r="G19" s="18">
        <f>200+225+350+225+275</f>
        <v>1275</v>
      </c>
    </row>
    <row r="20" spans="1:7" ht="15" customHeight="1">
      <c r="A20" s="16">
        <v>12</v>
      </c>
      <c r="B20" s="17" t="s">
        <v>42</v>
      </c>
      <c r="C20" s="18">
        <f t="shared" si="0"/>
        <v>9525</v>
      </c>
      <c r="D20" s="18">
        <f>250</f>
        <v>250</v>
      </c>
      <c r="E20" s="18">
        <f>250+145+130+115+130+115+475+225+145+145+300+160</f>
        <v>2335</v>
      </c>
      <c r="F20" s="18">
        <f>300+350+160+300+115+275+425+425+115+250+475+425+475</f>
        <v>4090</v>
      </c>
      <c r="G20" s="18">
        <f>250+375+175+475+200+200+375+375+425</f>
        <v>2850</v>
      </c>
    </row>
    <row r="21" spans="1:7" ht="15" customHeight="1">
      <c r="A21" s="16">
        <v>13</v>
      </c>
      <c r="B21" s="17" t="s">
        <v>323</v>
      </c>
      <c r="C21" s="18">
        <f t="shared" si="0"/>
        <v>9020</v>
      </c>
      <c r="D21" s="18">
        <f>425+375+575+350+145+475+300+350</f>
        <v>2995</v>
      </c>
      <c r="E21" s="18">
        <f>300+375+350+375+375+425</f>
        <v>2200</v>
      </c>
      <c r="F21" s="18">
        <f>425+250+225+425+325+425+350+325</f>
        <v>2750</v>
      </c>
      <c r="G21" s="18">
        <f>350+300+425</f>
        <v>1075</v>
      </c>
    </row>
    <row r="22" spans="1:7" ht="15" customHeight="1">
      <c r="A22" s="16">
        <v>14</v>
      </c>
      <c r="B22" s="17" t="s">
        <v>97</v>
      </c>
      <c r="C22" s="18">
        <f t="shared" si="0"/>
        <v>8805</v>
      </c>
      <c r="D22" s="18">
        <f>250+115+250+115</f>
        <v>730</v>
      </c>
      <c r="E22" s="18">
        <f>175+130+475+250+145+350+250+115+175</f>
        <v>2065</v>
      </c>
      <c r="F22" s="18">
        <f>175+275+250+425+425+160+275+175+145+475+375</f>
        <v>3155</v>
      </c>
      <c r="G22" s="18">
        <f>200+575+475+475+130+575+425</f>
        <v>2855</v>
      </c>
    </row>
    <row r="23" spans="1:7" ht="15" customHeight="1">
      <c r="A23" s="16">
        <v>15</v>
      </c>
      <c r="B23" s="17" t="s">
        <v>143</v>
      </c>
      <c r="C23" s="18">
        <f t="shared" si="0"/>
        <v>8200</v>
      </c>
      <c r="D23" s="18">
        <f>575+200+275+325</f>
        <v>1375</v>
      </c>
      <c r="E23" s="18">
        <f>375+575+145+425+375</f>
        <v>1895</v>
      </c>
      <c r="F23" s="18">
        <f>425+575+350+300+375+375+575</f>
        <v>2975</v>
      </c>
      <c r="G23" s="18">
        <f>300+425+425+130+350+325</f>
        <v>1955</v>
      </c>
    </row>
    <row r="24" spans="1:7" ht="15" customHeight="1">
      <c r="A24" s="16">
        <v>16</v>
      </c>
      <c r="B24" s="17" t="s">
        <v>269</v>
      </c>
      <c r="C24" s="18">
        <f t="shared" si="0"/>
        <v>8140</v>
      </c>
      <c r="D24" s="18">
        <f>175</f>
        <v>175</v>
      </c>
      <c r="E24" s="18">
        <f>300+275+130+160+115+325+325+115+200+145+130</f>
        <v>2220</v>
      </c>
      <c r="F24" s="18">
        <f>325+350+325+200+115+225+130+325+300+325+475+575</f>
        <v>3670</v>
      </c>
      <c r="G24" s="18">
        <f>425+225+300+250+300+575</f>
        <v>2075</v>
      </c>
    </row>
    <row r="25" spans="1:7" ht="15" customHeight="1">
      <c r="A25" s="16">
        <v>17</v>
      </c>
      <c r="B25" s="17" t="s">
        <v>7</v>
      </c>
      <c r="C25" s="18">
        <f t="shared" si="0"/>
        <v>7655</v>
      </c>
      <c r="D25" s="18">
        <f>375+575+425+115+375+160+145+475+200</f>
        <v>2845</v>
      </c>
      <c r="E25" s="18">
        <f>300+475+575+160+275+425+350+250+200+425+160</f>
        <v>3595</v>
      </c>
      <c r="F25" s="18">
        <f>250+325+350+160</f>
        <v>1085</v>
      </c>
      <c r="G25" s="18">
        <f>130</f>
        <v>130</v>
      </c>
    </row>
    <row r="26" spans="1:7" ht="15" customHeight="1">
      <c r="A26" s="16">
        <v>18</v>
      </c>
      <c r="B26" s="17" t="s">
        <v>193</v>
      </c>
      <c r="C26" s="18">
        <f t="shared" si="0"/>
        <v>7625</v>
      </c>
      <c r="D26" s="18">
        <f>145+145+200+575+275+200+325+350+475</f>
        <v>2690</v>
      </c>
      <c r="E26" s="18">
        <f>325+475+250+275+475+250+145+425</f>
        <v>2620</v>
      </c>
      <c r="F26" s="18">
        <f>250+225+115+200+275</f>
        <v>1065</v>
      </c>
      <c r="G26" s="18">
        <f>475+225+275+275</f>
        <v>1250</v>
      </c>
    </row>
    <row r="27" spans="1:7" ht="15" customHeight="1">
      <c r="A27" s="16">
        <v>19</v>
      </c>
      <c r="B27" s="17" t="s">
        <v>30</v>
      </c>
      <c r="C27" s="18">
        <f t="shared" si="0"/>
        <v>7165</v>
      </c>
      <c r="D27" s="18">
        <f>325+325</f>
        <v>650</v>
      </c>
      <c r="E27" s="18">
        <f>175+475+575+275+275</f>
        <v>1775</v>
      </c>
      <c r="F27" s="18">
        <f>375+475+475+425+575+575</f>
        <v>2900</v>
      </c>
      <c r="G27" s="18">
        <f>300+425+350+115+300+350</f>
        <v>1840</v>
      </c>
    </row>
    <row r="28" spans="1:7" ht="15" customHeight="1">
      <c r="A28" s="16">
        <v>20</v>
      </c>
      <c r="B28" s="17" t="s">
        <v>32</v>
      </c>
      <c r="C28" s="18">
        <f t="shared" si="0"/>
        <v>6465</v>
      </c>
      <c r="D28" s="18">
        <v>0</v>
      </c>
      <c r="E28" s="18">
        <f>115+475+475+350+575+425+375+175</f>
        <v>2965</v>
      </c>
      <c r="F28" s="18">
        <f>575+575+575+425</f>
        <v>2150</v>
      </c>
      <c r="G28" s="18">
        <f>475+300+575</f>
        <v>1350</v>
      </c>
    </row>
    <row r="29" spans="1:7" ht="15" customHeight="1">
      <c r="A29" s="16">
        <v>21</v>
      </c>
      <c r="B29" s="17" t="s">
        <v>13</v>
      </c>
      <c r="C29" s="18">
        <f t="shared" si="0"/>
        <v>6230</v>
      </c>
      <c r="D29" s="18">
        <f>475+250+350+425+225+300+200</f>
        <v>2225</v>
      </c>
      <c r="E29" s="18">
        <f>325+375+475+425</f>
        <v>1600</v>
      </c>
      <c r="F29" s="18">
        <f>225+325+250+225+325+350</f>
        <v>1700</v>
      </c>
      <c r="G29" s="18">
        <f>275+130+300</f>
        <v>705</v>
      </c>
    </row>
    <row r="30" spans="1:7" ht="15" customHeight="1">
      <c r="A30" s="16">
        <v>22</v>
      </c>
      <c r="B30" s="16" t="s">
        <v>62</v>
      </c>
      <c r="C30" s="18">
        <f t="shared" si="0"/>
        <v>6180</v>
      </c>
      <c r="D30" s="18">
        <f>375+160+325+175</f>
        <v>1035</v>
      </c>
      <c r="E30" s="18">
        <f>350+175+425+250+425+475+325+130</f>
        <v>2555</v>
      </c>
      <c r="F30" s="18">
        <f>130+425+225</f>
        <v>780</v>
      </c>
      <c r="G30" s="18">
        <f>115+225+160+160+200+575+200+175</f>
        <v>1810</v>
      </c>
    </row>
    <row r="31" spans="1:7" ht="15" customHeight="1">
      <c r="A31" s="16">
        <v>23</v>
      </c>
      <c r="B31" s="17" t="s">
        <v>61</v>
      </c>
      <c r="C31" s="18">
        <f t="shared" si="0"/>
        <v>6010</v>
      </c>
      <c r="D31" s="18">
        <f>275+300+300+300</f>
        <v>1175</v>
      </c>
      <c r="E31" s="18">
        <f>275+475+475+375+160</f>
        <v>1760</v>
      </c>
      <c r="F31" s="18">
        <f>300+375+350+200+375</f>
        <v>1600</v>
      </c>
      <c r="G31" s="18">
        <f>350+325+225+350+225</f>
        <v>1475</v>
      </c>
    </row>
    <row r="32" spans="1:7" ht="15" customHeight="1">
      <c r="A32" s="16">
        <v>24</v>
      </c>
      <c r="B32" s="17" t="s">
        <v>21</v>
      </c>
      <c r="C32" s="18">
        <f t="shared" si="0"/>
        <v>5825</v>
      </c>
      <c r="D32" s="18">
        <f>145+425</f>
        <v>570</v>
      </c>
      <c r="E32" s="18">
        <f>475+160+350+475+575</f>
        <v>2035</v>
      </c>
      <c r="F32" s="18">
        <f>350+300+200+350+575+375+300</f>
        <v>2450</v>
      </c>
      <c r="G32" s="18">
        <f>375+250+145</f>
        <v>770</v>
      </c>
    </row>
    <row r="33" spans="1:7" ht="15" customHeight="1">
      <c r="A33" s="16">
        <v>25</v>
      </c>
      <c r="B33" s="17" t="s">
        <v>25</v>
      </c>
      <c r="C33" s="18">
        <f t="shared" si="0"/>
        <v>5605</v>
      </c>
      <c r="D33" s="18">
        <f>115+160+300+145+145+175</f>
        <v>1040</v>
      </c>
      <c r="E33" s="18">
        <f>375+145+325+275+145+300+300+115+145</f>
        <v>2125</v>
      </c>
      <c r="F33" s="18">
        <f>160+375+160</f>
        <v>695</v>
      </c>
      <c r="G33" s="18">
        <f>275+575+325+425+145</f>
        <v>1745</v>
      </c>
    </row>
    <row r="34" spans="1:7" ht="15" customHeight="1">
      <c r="A34" s="16">
        <v>26</v>
      </c>
      <c r="B34" s="17" t="s">
        <v>118</v>
      </c>
      <c r="C34" s="18">
        <f t="shared" si="0"/>
        <v>5425</v>
      </c>
      <c r="D34" s="18">
        <f>250+325</f>
        <v>575</v>
      </c>
      <c r="E34" s="18">
        <f>375+275</f>
        <v>650</v>
      </c>
      <c r="F34" s="18">
        <f>575+575+575</f>
        <v>1725</v>
      </c>
      <c r="G34" s="18">
        <f>200+475+475+575+425+325</f>
        <v>2475</v>
      </c>
    </row>
    <row r="35" spans="1:7" ht="15" customHeight="1">
      <c r="A35" s="16">
        <v>27</v>
      </c>
      <c r="B35" s="16" t="s">
        <v>56</v>
      </c>
      <c r="C35" s="18">
        <f t="shared" si="0"/>
        <v>5130</v>
      </c>
      <c r="D35" s="18">
        <f>475+175+475+350+325</f>
        <v>1800</v>
      </c>
      <c r="E35" s="18">
        <f>325+250+200+350+375</f>
        <v>1500</v>
      </c>
      <c r="F35" s="18">
        <f>130</f>
        <v>130</v>
      </c>
      <c r="G35" s="18">
        <f>475+175+575+475</f>
        <v>1700</v>
      </c>
    </row>
    <row r="36" spans="1:7" ht="15" customHeight="1">
      <c r="A36" s="16">
        <v>28</v>
      </c>
      <c r="B36" s="17" t="s">
        <v>11</v>
      </c>
      <c r="C36" s="18">
        <f t="shared" si="0"/>
        <v>5105</v>
      </c>
      <c r="D36" s="18">
        <f>300+160+375</f>
        <v>835</v>
      </c>
      <c r="E36" s="18">
        <f>145+425+300+350+475+325+250+575+325</f>
        <v>3170</v>
      </c>
      <c r="F36" s="18">
        <f>350</f>
        <v>350</v>
      </c>
      <c r="G36" s="18">
        <f>425+325</f>
        <v>750</v>
      </c>
    </row>
    <row r="37" spans="1:7" ht="15" customHeight="1">
      <c r="A37" s="16">
        <v>29</v>
      </c>
      <c r="B37" s="17" t="s">
        <v>247</v>
      </c>
      <c r="C37" s="18">
        <f t="shared" si="0"/>
        <v>5070</v>
      </c>
      <c r="D37" s="18">
        <f>300+200+425+425+200</f>
        <v>1550</v>
      </c>
      <c r="E37" s="18">
        <f>325+375+575+160+200+200</f>
        <v>1835</v>
      </c>
      <c r="F37" s="18">
        <f>375+200+325+160+300</f>
        <v>1360</v>
      </c>
      <c r="G37" s="18">
        <f>325</f>
        <v>325</v>
      </c>
    </row>
    <row r="38" spans="1:7" ht="15" customHeight="1">
      <c r="A38" s="16">
        <v>30</v>
      </c>
      <c r="B38" s="17" t="s">
        <v>259</v>
      </c>
      <c r="C38" s="18">
        <f t="shared" si="0"/>
        <v>4800</v>
      </c>
      <c r="D38" s="18">
        <f>425</f>
        <v>425</v>
      </c>
      <c r="E38" s="18">
        <f>425+375+300+350</f>
        <v>1450</v>
      </c>
      <c r="F38" s="18">
        <f>325+475+225+475</f>
        <v>1500</v>
      </c>
      <c r="G38" s="18">
        <f>475+375+575</f>
        <v>1425</v>
      </c>
    </row>
    <row r="39" spans="1:7" ht="15" customHeight="1">
      <c r="A39" s="16">
        <v>31</v>
      </c>
      <c r="B39" s="17" t="s">
        <v>245</v>
      </c>
      <c r="C39" s="18">
        <f t="shared" si="0"/>
        <v>4500</v>
      </c>
      <c r="D39" s="18">
        <f>175+575+350+475</f>
        <v>1575</v>
      </c>
      <c r="E39" s="18">
        <f>300</f>
        <v>300</v>
      </c>
      <c r="F39" s="18">
        <f>325+575+375+225</f>
        <v>1500</v>
      </c>
      <c r="G39" s="18">
        <f>250+475+175+225</f>
        <v>1125</v>
      </c>
    </row>
    <row r="40" spans="1:7" ht="15" customHeight="1">
      <c r="A40" s="16">
        <v>32</v>
      </c>
      <c r="B40" s="17" t="s">
        <v>125</v>
      </c>
      <c r="C40" s="18">
        <f t="shared" si="0"/>
        <v>4415</v>
      </c>
      <c r="D40" s="18">
        <f>225+375+250</f>
        <v>850</v>
      </c>
      <c r="E40" s="18">
        <f>115+175+130+375+145</f>
        <v>940</v>
      </c>
      <c r="F40" s="18">
        <f>225+325+275+425+175</f>
        <v>1425</v>
      </c>
      <c r="G40" s="18">
        <f>250+575+375</f>
        <v>1200</v>
      </c>
    </row>
    <row r="41" spans="1:7" ht="15" customHeight="1">
      <c r="A41" s="25">
        <v>33</v>
      </c>
      <c r="B41" s="26" t="s">
        <v>58</v>
      </c>
      <c r="C41" s="27">
        <f t="shared" si="0"/>
        <v>4140</v>
      </c>
      <c r="D41" s="27">
        <f>350+115+275+250</f>
        <v>990</v>
      </c>
      <c r="E41" s="27">
        <f>350+115+425+175</f>
        <v>1065</v>
      </c>
      <c r="F41" s="27">
        <f>300+300+225+250+275</f>
        <v>1350</v>
      </c>
      <c r="G41" s="27">
        <f>160+325+250</f>
        <v>735</v>
      </c>
    </row>
    <row r="42" spans="1:7" ht="15" customHeight="1">
      <c r="A42" s="25">
        <v>34</v>
      </c>
      <c r="B42" s="26" t="s">
        <v>162</v>
      </c>
      <c r="C42" s="27">
        <f t="shared" si="0"/>
        <v>3855</v>
      </c>
      <c r="D42" s="27">
        <f>250</f>
        <v>250</v>
      </c>
      <c r="E42" s="27">
        <f>130+575+375</f>
        <v>1080</v>
      </c>
      <c r="F42" s="27">
        <f>575+475+575+275</f>
        <v>1900</v>
      </c>
      <c r="G42" s="27">
        <f>250+375</f>
        <v>625</v>
      </c>
    </row>
    <row r="43" spans="1:7" ht="15" customHeight="1">
      <c r="A43" s="25">
        <v>35</v>
      </c>
      <c r="B43" s="26" t="s">
        <v>201</v>
      </c>
      <c r="C43" s="27">
        <f t="shared" si="0"/>
        <v>3825</v>
      </c>
      <c r="D43" s="27">
        <f>275+425</f>
        <v>700</v>
      </c>
      <c r="E43" s="27">
        <f>325+375+575</f>
        <v>1275</v>
      </c>
      <c r="F43" s="27">
        <f>425+300+575</f>
        <v>1300</v>
      </c>
      <c r="G43" s="27">
        <f>175+375</f>
        <v>550</v>
      </c>
    </row>
    <row r="44" spans="1:7" ht="15" customHeight="1">
      <c r="A44" s="25">
        <v>36</v>
      </c>
      <c r="B44" s="26" t="s">
        <v>88</v>
      </c>
      <c r="C44" s="27">
        <f t="shared" si="0"/>
        <v>3720</v>
      </c>
      <c r="D44" s="27">
        <v>0</v>
      </c>
      <c r="E44" s="27">
        <v>0</v>
      </c>
      <c r="F44" s="27">
        <f>200</f>
        <v>200</v>
      </c>
      <c r="G44" s="27">
        <f>575+575+275+425+145+575+375+575</f>
        <v>3520</v>
      </c>
    </row>
    <row r="45" spans="1:7" ht="15" customHeight="1">
      <c r="A45" s="25">
        <v>37</v>
      </c>
      <c r="B45" s="26" t="s">
        <v>313</v>
      </c>
      <c r="C45" s="27">
        <f t="shared" si="0"/>
        <v>3710</v>
      </c>
      <c r="D45" s="27">
        <f>130</f>
        <v>130</v>
      </c>
      <c r="E45" s="27">
        <f>200+160+325+275+145+160</f>
        <v>1265</v>
      </c>
      <c r="F45" s="27">
        <f>200+200+475+250+175+250+145+160</f>
        <v>1855</v>
      </c>
      <c r="G45" s="27">
        <f>300+160</f>
        <v>460</v>
      </c>
    </row>
    <row r="46" spans="1:7" ht="15" customHeight="1">
      <c r="A46" s="25">
        <v>38</v>
      </c>
      <c r="B46" s="26" t="s">
        <v>304</v>
      </c>
      <c r="C46" s="27">
        <f t="shared" si="0"/>
        <v>3680</v>
      </c>
      <c r="D46" s="27">
        <f>175+475</f>
        <v>650</v>
      </c>
      <c r="E46" s="27">
        <f>175+325+160+575</f>
        <v>1235</v>
      </c>
      <c r="F46" s="27">
        <f>250+375+200+145</f>
        <v>970</v>
      </c>
      <c r="G46" s="27">
        <f>475+350</f>
        <v>825</v>
      </c>
    </row>
    <row r="47" spans="1:7" ht="15" customHeight="1">
      <c r="A47" s="25">
        <v>39</v>
      </c>
      <c r="B47" s="26" t="s">
        <v>152</v>
      </c>
      <c r="C47" s="27">
        <f t="shared" si="0"/>
        <v>3675</v>
      </c>
      <c r="D47" s="27">
        <f>275</f>
        <v>275</v>
      </c>
      <c r="E47" s="27">
        <f>350</f>
        <v>350</v>
      </c>
      <c r="F47" s="27">
        <f>475+575+325+275+350</f>
        <v>2000</v>
      </c>
      <c r="G47" s="27">
        <f>575+475</f>
        <v>1050</v>
      </c>
    </row>
    <row r="48" spans="1:7" ht="15" customHeight="1">
      <c r="A48" s="25">
        <v>40</v>
      </c>
      <c r="B48" s="26" t="s">
        <v>28</v>
      </c>
      <c r="C48" s="27">
        <f t="shared" si="0"/>
        <v>3625</v>
      </c>
      <c r="D48" s="27">
        <f>475+300+275+200</f>
        <v>1250</v>
      </c>
      <c r="E48" s="27">
        <f>375+300+325</f>
        <v>1000</v>
      </c>
      <c r="F48" s="27">
        <f>475</f>
        <v>475</v>
      </c>
      <c r="G48" s="27">
        <f>350+175+375</f>
        <v>900</v>
      </c>
    </row>
    <row r="49" spans="1:7" ht="15" customHeight="1">
      <c r="A49" s="25">
        <v>41</v>
      </c>
      <c r="B49" s="26" t="s">
        <v>142</v>
      </c>
      <c r="C49" s="27">
        <f t="shared" si="0"/>
        <v>3470</v>
      </c>
      <c r="D49" s="27">
        <v>0</v>
      </c>
      <c r="E49" s="27">
        <f>375+250+250+350+115+275</f>
        <v>1615</v>
      </c>
      <c r="F49" s="27">
        <f>475+175+130+250</f>
        <v>1030</v>
      </c>
      <c r="G49" s="27">
        <f>350+275+200</f>
        <v>825</v>
      </c>
    </row>
    <row r="50" spans="1:7" ht="15" customHeight="1">
      <c r="A50" s="25">
        <v>42</v>
      </c>
      <c r="B50" s="25" t="s">
        <v>68</v>
      </c>
      <c r="C50" s="27">
        <f t="shared" si="0"/>
        <v>3440</v>
      </c>
      <c r="D50" s="27">
        <f>225+375+160+130</f>
        <v>890</v>
      </c>
      <c r="E50" s="27">
        <f>115+325+575+145+575+350</f>
        <v>2085</v>
      </c>
      <c r="F50" s="27">
        <f>175</f>
        <v>175</v>
      </c>
      <c r="G50" s="27">
        <f>175+115</f>
        <v>290</v>
      </c>
    </row>
    <row r="51" spans="1:7" ht="15" customHeight="1">
      <c r="A51" s="14"/>
      <c r="B51" s="15" t="s">
        <v>173</v>
      </c>
      <c r="C51" s="4">
        <f t="shared" si="0"/>
        <v>3425</v>
      </c>
      <c r="D51" s="4">
        <v>0</v>
      </c>
      <c r="E51" s="4">
        <f>275+375+575+375</f>
        <v>1600</v>
      </c>
      <c r="F51" s="4">
        <f>300+575+225</f>
        <v>1100</v>
      </c>
      <c r="G51" s="4">
        <f>350+375</f>
        <v>725</v>
      </c>
    </row>
    <row r="52" spans="1:7" ht="15" customHeight="1">
      <c r="A52" s="14"/>
      <c r="B52" s="15" t="s">
        <v>35</v>
      </c>
      <c r="C52" s="4">
        <f t="shared" si="0"/>
        <v>3325</v>
      </c>
      <c r="D52" s="4">
        <f>425+575</f>
        <v>1000</v>
      </c>
      <c r="E52" s="4">
        <f>425</f>
        <v>425</v>
      </c>
      <c r="F52" s="4">
        <f>475+475</f>
        <v>950</v>
      </c>
      <c r="G52" s="4">
        <f>225+475+250</f>
        <v>950</v>
      </c>
    </row>
    <row r="53" spans="1:7" ht="15" customHeight="1">
      <c r="A53" s="14"/>
      <c r="B53" s="15" t="s">
        <v>344</v>
      </c>
      <c r="C53" s="4">
        <f t="shared" si="0"/>
        <v>3285</v>
      </c>
      <c r="D53" s="4">
        <f>350</f>
        <v>350</v>
      </c>
      <c r="E53" s="4">
        <f>275+350+225+425</f>
        <v>1275</v>
      </c>
      <c r="F53" s="4">
        <f>425+175+475+160</f>
        <v>1235</v>
      </c>
      <c r="G53" s="4">
        <f>425</f>
        <v>425</v>
      </c>
    </row>
    <row r="54" spans="1:7" ht="15" customHeight="1">
      <c r="A54" s="14"/>
      <c r="B54" s="15" t="s">
        <v>57</v>
      </c>
      <c r="C54" s="4">
        <f t="shared" si="0"/>
        <v>3225</v>
      </c>
      <c r="D54" s="4">
        <f>225+325+575</f>
        <v>1125</v>
      </c>
      <c r="E54" s="4">
        <f>300+175+200</f>
        <v>675</v>
      </c>
      <c r="F54" s="4">
        <f>350+275+250+275</f>
        <v>1150</v>
      </c>
      <c r="G54" s="4">
        <f>115+160</f>
        <v>275</v>
      </c>
    </row>
    <row r="55" spans="1:7" ht="15" customHeight="1">
      <c r="A55" s="14"/>
      <c r="B55" s="15" t="s">
        <v>33</v>
      </c>
      <c r="C55" s="4">
        <f t="shared" si="0"/>
        <v>3210</v>
      </c>
      <c r="D55" s="4">
        <f>300+375</f>
        <v>675</v>
      </c>
      <c r="E55" s="4">
        <f>160+425+175+575</f>
        <v>1335</v>
      </c>
      <c r="F55" s="4">
        <f>425+225+325</f>
        <v>975</v>
      </c>
      <c r="G55" s="4">
        <f>225</f>
        <v>225</v>
      </c>
    </row>
    <row r="56" spans="1:7" ht="15" customHeight="1">
      <c r="A56" s="14"/>
      <c r="B56" s="15" t="s">
        <v>70</v>
      </c>
      <c r="C56" s="4">
        <f t="shared" si="0"/>
        <v>3070</v>
      </c>
      <c r="D56" s="4">
        <f>300+200</f>
        <v>500</v>
      </c>
      <c r="E56" s="4">
        <f>475+325+175+160</f>
        <v>1135</v>
      </c>
      <c r="F56" s="4">
        <f>300+145+275+425+145</f>
        <v>1290</v>
      </c>
      <c r="G56" s="4">
        <f>145</f>
        <v>145</v>
      </c>
    </row>
    <row r="57" spans="1:7" ht="15" customHeight="1">
      <c r="A57" s="14"/>
      <c r="B57" s="15" t="s">
        <v>213</v>
      </c>
      <c r="C57" s="4">
        <f t="shared" si="0"/>
        <v>3025</v>
      </c>
      <c r="D57" s="4">
        <f>250+250</f>
        <v>500</v>
      </c>
      <c r="E57" s="4">
        <f>200+350+300+250</f>
        <v>1100</v>
      </c>
      <c r="F57" s="4">
        <f>275+225+375</f>
        <v>875</v>
      </c>
      <c r="G57" s="4">
        <f>325+225</f>
        <v>550</v>
      </c>
    </row>
    <row r="58" spans="1:7" ht="15" customHeight="1">
      <c r="A58" s="14"/>
      <c r="B58" s="15" t="s">
        <v>24</v>
      </c>
      <c r="C58" s="4">
        <f t="shared" si="0"/>
        <v>3000</v>
      </c>
      <c r="D58" s="4">
        <f>425</f>
        <v>425</v>
      </c>
      <c r="E58" s="4">
        <v>0</v>
      </c>
      <c r="F58" s="4">
        <v>0</v>
      </c>
      <c r="G58" s="4">
        <f>325+160+475+115+375+425+325+375</f>
        <v>2575</v>
      </c>
    </row>
    <row r="59" spans="1:7" ht="15" customHeight="1">
      <c r="A59" s="14"/>
      <c r="B59" s="15" t="s">
        <v>277</v>
      </c>
      <c r="C59" s="4">
        <f t="shared" si="0"/>
        <v>2990</v>
      </c>
      <c r="D59" s="4">
        <v>0</v>
      </c>
      <c r="E59" s="4">
        <f>425+350+275+300+160+200</f>
        <v>1710</v>
      </c>
      <c r="F59" s="4">
        <f>350+225+350+225</f>
        <v>1150</v>
      </c>
      <c r="G59" s="4">
        <f>130</f>
        <v>130</v>
      </c>
    </row>
    <row r="60" spans="1:7" ht="15" customHeight="1">
      <c r="A60" s="14"/>
      <c r="B60" s="14" t="s">
        <v>26</v>
      </c>
      <c r="C60" s="4">
        <f t="shared" si="0"/>
        <v>2910</v>
      </c>
      <c r="D60" s="4">
        <f>475</f>
        <v>475</v>
      </c>
      <c r="E60" s="4">
        <v>0</v>
      </c>
      <c r="F60" s="4">
        <f>130+425+175+250</f>
        <v>980</v>
      </c>
      <c r="G60" s="4">
        <f>575+145+575+160</f>
        <v>1455</v>
      </c>
    </row>
    <row r="61" spans="1:7" ht="15" customHeight="1">
      <c r="A61" s="14"/>
      <c r="B61" s="15" t="s">
        <v>82</v>
      </c>
      <c r="C61" s="4">
        <f t="shared" si="0"/>
        <v>2825</v>
      </c>
      <c r="D61" s="4">
        <f>115+225+160</f>
        <v>500</v>
      </c>
      <c r="E61" s="4">
        <f>225+275+325+250+575+375</f>
        <v>2025</v>
      </c>
      <c r="F61" s="4">
        <v>0</v>
      </c>
      <c r="G61" s="4">
        <f>300</f>
        <v>300</v>
      </c>
    </row>
    <row r="62" spans="1:7" ht="15" customHeight="1">
      <c r="A62" s="14"/>
      <c r="B62" s="15" t="s">
        <v>211</v>
      </c>
      <c r="C62" s="4">
        <f t="shared" si="0"/>
        <v>2800</v>
      </c>
      <c r="D62" s="4">
        <f>575+575</f>
        <v>1150</v>
      </c>
      <c r="E62" s="4">
        <f>300+325+425</f>
        <v>1050</v>
      </c>
      <c r="F62" s="4">
        <f>350</f>
        <v>350</v>
      </c>
      <c r="G62" s="4">
        <f>250</f>
        <v>250</v>
      </c>
    </row>
    <row r="63" spans="1:7" ht="15" customHeight="1">
      <c r="A63" s="14"/>
      <c r="B63" s="15" t="s">
        <v>230</v>
      </c>
      <c r="C63" s="4">
        <f t="shared" si="0"/>
        <v>2775</v>
      </c>
      <c r="D63" s="4">
        <f>275+575</f>
        <v>850</v>
      </c>
      <c r="E63" s="4">
        <f>425</f>
        <v>425</v>
      </c>
      <c r="F63" s="4">
        <f>250</f>
        <v>250</v>
      </c>
      <c r="G63" s="4">
        <f>575+250+425</f>
        <v>1250</v>
      </c>
    </row>
    <row r="64" spans="1:7" ht="15" customHeight="1">
      <c r="A64" s="14"/>
      <c r="B64" s="15" t="s">
        <v>175</v>
      </c>
      <c r="C64" s="4">
        <f t="shared" si="0"/>
        <v>2725</v>
      </c>
      <c r="D64" s="4">
        <f>275+275+575</f>
        <v>1125</v>
      </c>
      <c r="E64" s="4">
        <f>375+275+325</f>
        <v>975</v>
      </c>
      <c r="F64" s="4">
        <f>350</f>
        <v>350</v>
      </c>
      <c r="G64" s="4">
        <f>275</f>
        <v>275</v>
      </c>
    </row>
    <row r="65" spans="1:7" ht="15" customHeight="1">
      <c r="A65" s="14"/>
      <c r="B65" s="15" t="s">
        <v>204</v>
      </c>
      <c r="C65" s="4">
        <f t="shared" si="0"/>
        <v>2700</v>
      </c>
      <c r="D65" s="4">
        <f>275+250</f>
        <v>525</v>
      </c>
      <c r="E65" s="4">
        <f>160+475</f>
        <v>635</v>
      </c>
      <c r="F65" s="4">
        <f>350+115+300</f>
        <v>765</v>
      </c>
      <c r="G65" s="4">
        <f>300+225+250</f>
        <v>775</v>
      </c>
    </row>
    <row r="66" spans="1:7" ht="15" customHeight="1">
      <c r="A66" s="14"/>
      <c r="B66" s="15" t="s">
        <v>187</v>
      </c>
      <c r="C66" s="4">
        <f t="shared" si="0"/>
        <v>2650</v>
      </c>
      <c r="D66" s="4">
        <f>475+350+300</f>
        <v>1125</v>
      </c>
      <c r="E66" s="4">
        <f>300+225+250</f>
        <v>775</v>
      </c>
      <c r="F66" s="4">
        <f>275+475</f>
        <v>750</v>
      </c>
      <c r="G66" s="4">
        <v>0</v>
      </c>
    </row>
    <row r="67" spans="1:7" ht="15" customHeight="1">
      <c r="A67" s="14"/>
      <c r="B67" s="15" t="s">
        <v>172</v>
      </c>
      <c r="C67" s="4">
        <f t="shared" si="0"/>
        <v>2585</v>
      </c>
      <c r="D67" s="4">
        <f>325+275+275</f>
        <v>875</v>
      </c>
      <c r="E67" s="4">
        <f>425+225+160+575</f>
        <v>1385</v>
      </c>
      <c r="F67" s="4">
        <f>325</f>
        <v>325</v>
      </c>
      <c r="G67" s="4">
        <v>0</v>
      </c>
    </row>
    <row r="68" spans="1:7" ht="15" customHeight="1">
      <c r="A68" s="14"/>
      <c r="B68" s="15" t="s">
        <v>288</v>
      </c>
      <c r="C68" s="4">
        <f t="shared" si="0"/>
        <v>2555</v>
      </c>
      <c r="D68" s="4">
        <v>0</v>
      </c>
      <c r="E68" s="4">
        <f>225+325+375</f>
        <v>925</v>
      </c>
      <c r="F68" s="4">
        <f>575+300+425+200</f>
        <v>1500</v>
      </c>
      <c r="G68" s="4">
        <f>130</f>
        <v>130</v>
      </c>
    </row>
    <row r="69" spans="1:7" ht="15" customHeight="1">
      <c r="A69" s="14"/>
      <c r="B69" s="15" t="s">
        <v>49</v>
      </c>
      <c r="C69" s="4">
        <f t="shared" si="0"/>
        <v>2470</v>
      </c>
      <c r="D69" s="4">
        <f>425+325</f>
        <v>750</v>
      </c>
      <c r="E69" s="4">
        <f>300+130</f>
        <v>430</v>
      </c>
      <c r="F69" s="4">
        <f>425+575+175</f>
        <v>1175</v>
      </c>
      <c r="G69" s="4">
        <f>115</f>
        <v>115</v>
      </c>
    </row>
    <row r="70" spans="1:7" ht="15" customHeight="1">
      <c r="A70" s="14"/>
      <c r="B70" s="15" t="s">
        <v>279</v>
      </c>
      <c r="C70" s="4">
        <f t="shared" si="0"/>
        <v>2375</v>
      </c>
      <c r="D70" s="4">
        <v>0</v>
      </c>
      <c r="E70" s="4">
        <f>475+275+375+300</f>
        <v>1425</v>
      </c>
      <c r="F70" s="4">
        <f>575+375</f>
        <v>950</v>
      </c>
      <c r="G70" s="4">
        <v>0</v>
      </c>
    </row>
    <row r="71" spans="1:7" ht="15" customHeight="1">
      <c r="A71" s="14"/>
      <c r="B71" s="15" t="s">
        <v>79</v>
      </c>
      <c r="C71" s="4">
        <f t="shared" si="0"/>
        <v>2195</v>
      </c>
      <c r="D71" s="4">
        <f>160+115</f>
        <v>275</v>
      </c>
      <c r="E71" s="4">
        <f>250+160+575</f>
        <v>985</v>
      </c>
      <c r="F71" s="4">
        <f>475+300+160</f>
        <v>935</v>
      </c>
      <c r="G71" s="4">
        <v>0</v>
      </c>
    </row>
    <row r="72" spans="1:7" ht="15" customHeight="1">
      <c r="A72" s="14"/>
      <c r="B72" s="15" t="s">
        <v>280</v>
      </c>
      <c r="C72" s="4">
        <f t="shared" si="0"/>
        <v>2150</v>
      </c>
      <c r="D72" s="4">
        <v>0</v>
      </c>
      <c r="E72" s="4">
        <f>425+375+425+325</f>
        <v>1550</v>
      </c>
      <c r="F72" s="4">
        <f>250+350</f>
        <v>600</v>
      </c>
      <c r="G72" s="4">
        <v>0</v>
      </c>
    </row>
    <row r="73" spans="1:7" ht="15" customHeight="1">
      <c r="A73" s="14"/>
      <c r="B73" s="15" t="s">
        <v>185</v>
      </c>
      <c r="C73" s="4">
        <f aca="true" t="shared" si="1" ref="C73:C136">D73+E73+F73+G73</f>
        <v>2150</v>
      </c>
      <c r="D73" s="4">
        <f>375+475+325</f>
        <v>1175</v>
      </c>
      <c r="E73" s="4">
        <f>325+275</f>
        <v>600</v>
      </c>
      <c r="F73" s="4">
        <f>375</f>
        <v>375</v>
      </c>
      <c r="G73" s="4">
        <v>0</v>
      </c>
    </row>
    <row r="74" spans="1:9" ht="15" customHeight="1">
      <c r="A74" s="14"/>
      <c r="B74" s="15" t="s">
        <v>94</v>
      </c>
      <c r="C74" s="4">
        <f t="shared" si="1"/>
        <v>2135</v>
      </c>
      <c r="D74" s="4">
        <v>0</v>
      </c>
      <c r="E74" s="4">
        <f>300+325+225</f>
        <v>850</v>
      </c>
      <c r="F74" s="4">
        <f>475+160+425</f>
        <v>1060</v>
      </c>
      <c r="G74" s="4">
        <f>225</f>
        <v>225</v>
      </c>
      <c r="H74" s="3"/>
      <c r="I74" s="3"/>
    </row>
    <row r="75" spans="1:9" ht="15" customHeight="1">
      <c r="A75" s="14"/>
      <c r="B75" s="15" t="s">
        <v>197</v>
      </c>
      <c r="C75" s="4">
        <f t="shared" si="1"/>
        <v>2110</v>
      </c>
      <c r="D75" s="4">
        <v>0</v>
      </c>
      <c r="E75" s="4">
        <f>475+475</f>
        <v>950</v>
      </c>
      <c r="F75" s="4">
        <f>275+350+375</f>
        <v>1000</v>
      </c>
      <c r="G75" s="4">
        <f>160</f>
        <v>160</v>
      </c>
      <c r="H75" s="3"/>
      <c r="I75" s="3"/>
    </row>
    <row r="76" spans="1:9" ht="15" customHeight="1">
      <c r="A76" s="14"/>
      <c r="B76" s="15" t="s">
        <v>189</v>
      </c>
      <c r="C76" s="4">
        <f t="shared" si="1"/>
        <v>2100</v>
      </c>
      <c r="D76" s="4">
        <f>275+275</f>
        <v>550</v>
      </c>
      <c r="E76" s="4">
        <f>350+475+275</f>
        <v>1100</v>
      </c>
      <c r="F76" s="4">
        <v>0</v>
      </c>
      <c r="G76" s="4">
        <f>250+200</f>
        <v>450</v>
      </c>
      <c r="H76" s="3"/>
      <c r="I76" s="3"/>
    </row>
    <row r="77" spans="1:9" ht="15" customHeight="1">
      <c r="A77" s="14"/>
      <c r="B77" s="15" t="s">
        <v>188</v>
      </c>
      <c r="C77" s="4">
        <f t="shared" si="1"/>
        <v>2050</v>
      </c>
      <c r="D77" s="4">
        <f>115+250+225</f>
        <v>590</v>
      </c>
      <c r="E77" s="4">
        <f>160+175</f>
        <v>335</v>
      </c>
      <c r="F77" s="4">
        <f>575+250</f>
        <v>825</v>
      </c>
      <c r="G77" s="4">
        <f>300</f>
        <v>300</v>
      </c>
      <c r="H77" s="3"/>
      <c r="I77" s="3"/>
    </row>
    <row r="78" spans="1:9" ht="15" customHeight="1">
      <c r="A78" s="14"/>
      <c r="B78" s="15" t="s">
        <v>34</v>
      </c>
      <c r="C78" s="4">
        <f t="shared" si="1"/>
        <v>2000</v>
      </c>
      <c r="D78" s="4">
        <v>0</v>
      </c>
      <c r="E78" s="4">
        <f>425+425+425+225+275+225</f>
        <v>2000</v>
      </c>
      <c r="F78" s="4">
        <v>0</v>
      </c>
      <c r="G78" s="4">
        <v>0</v>
      </c>
      <c r="H78" s="3"/>
      <c r="I78" s="3"/>
    </row>
    <row r="79" spans="1:9" ht="15" customHeight="1">
      <c r="A79" s="14"/>
      <c r="B79" s="15" t="s">
        <v>115</v>
      </c>
      <c r="C79" s="4">
        <f t="shared" si="1"/>
        <v>1995</v>
      </c>
      <c r="D79" s="4">
        <f>225+175+175+160+160</f>
        <v>895</v>
      </c>
      <c r="E79" s="4">
        <v>0</v>
      </c>
      <c r="F79" s="4">
        <f>115+350+145+115</f>
        <v>725</v>
      </c>
      <c r="G79" s="4">
        <f>375</f>
        <v>375</v>
      </c>
      <c r="H79" s="3"/>
      <c r="I79" s="3"/>
    </row>
    <row r="80" spans="1:9" ht="15" customHeight="1">
      <c r="A80" s="14"/>
      <c r="B80" s="15" t="s">
        <v>63</v>
      </c>
      <c r="C80" s="4">
        <f t="shared" si="1"/>
        <v>1975</v>
      </c>
      <c r="D80" s="4">
        <f>350</f>
        <v>350</v>
      </c>
      <c r="E80" s="4">
        <f>350+375+475</f>
        <v>1200</v>
      </c>
      <c r="F80" s="4">
        <f>425</f>
        <v>425</v>
      </c>
      <c r="G80" s="4">
        <v>0</v>
      </c>
      <c r="H80" s="3"/>
      <c r="I80" s="3"/>
    </row>
    <row r="81" spans="1:9" ht="15" customHeight="1">
      <c r="A81" s="14"/>
      <c r="B81" s="15" t="s">
        <v>391</v>
      </c>
      <c r="C81" s="4">
        <f t="shared" si="1"/>
        <v>1950</v>
      </c>
      <c r="D81" s="4">
        <v>0</v>
      </c>
      <c r="E81" s="4">
        <v>0</v>
      </c>
      <c r="F81" s="4">
        <f>350</f>
        <v>350</v>
      </c>
      <c r="G81" s="4">
        <f>375+575+225+425</f>
        <v>1600</v>
      </c>
      <c r="H81" s="3"/>
      <c r="I81" s="3"/>
    </row>
    <row r="82" spans="1:9" ht="15" customHeight="1">
      <c r="A82" s="14"/>
      <c r="B82" s="15" t="s">
        <v>274</v>
      </c>
      <c r="C82" s="4">
        <f t="shared" si="1"/>
        <v>1875</v>
      </c>
      <c r="D82" s="4">
        <f>115+130</f>
        <v>245</v>
      </c>
      <c r="E82" s="4">
        <f>475+300+350+375</f>
        <v>1500</v>
      </c>
      <c r="F82" s="4">
        <v>0</v>
      </c>
      <c r="G82" s="4">
        <f>130</f>
        <v>130</v>
      </c>
      <c r="H82" s="3"/>
      <c r="I82" s="3"/>
    </row>
    <row r="83" spans="1:9" ht="15" customHeight="1">
      <c r="A83" s="14"/>
      <c r="B83" s="15" t="s">
        <v>268</v>
      </c>
      <c r="C83" s="4">
        <f t="shared" si="1"/>
        <v>1815</v>
      </c>
      <c r="D83" s="4">
        <f>225+475</f>
        <v>700</v>
      </c>
      <c r="E83" s="4">
        <v>0</v>
      </c>
      <c r="F83" s="4">
        <f>160+200+275</f>
        <v>635</v>
      </c>
      <c r="G83" s="4">
        <f>130+350</f>
        <v>480</v>
      </c>
      <c r="H83" s="3"/>
      <c r="I83" s="3"/>
    </row>
    <row r="84" spans="1:9" ht="15" customHeight="1">
      <c r="A84" s="14"/>
      <c r="B84" s="15" t="s">
        <v>151</v>
      </c>
      <c r="C84" s="4">
        <f t="shared" si="1"/>
        <v>1800</v>
      </c>
      <c r="D84" s="4">
        <f>575+375</f>
        <v>950</v>
      </c>
      <c r="E84" s="4">
        <v>0</v>
      </c>
      <c r="F84" s="4">
        <f>425+175</f>
        <v>600</v>
      </c>
      <c r="G84" s="4">
        <f>250</f>
        <v>250</v>
      </c>
      <c r="H84" s="3"/>
      <c r="I84" s="3"/>
    </row>
    <row r="85" spans="1:9" ht="15" customHeight="1">
      <c r="A85" s="14"/>
      <c r="B85" s="15" t="s">
        <v>29</v>
      </c>
      <c r="C85" s="4">
        <f t="shared" si="1"/>
        <v>1770</v>
      </c>
      <c r="D85" s="4">
        <f>300+475+300+300</f>
        <v>1375</v>
      </c>
      <c r="E85" s="4">
        <f>250</f>
        <v>250</v>
      </c>
      <c r="F85" s="4">
        <v>0</v>
      </c>
      <c r="G85" s="4">
        <f>145</f>
        <v>145</v>
      </c>
      <c r="H85" s="3"/>
      <c r="I85" s="3"/>
    </row>
    <row r="86" spans="1:9" ht="15" customHeight="1">
      <c r="A86" s="14"/>
      <c r="B86" s="15" t="s">
        <v>281</v>
      </c>
      <c r="C86" s="4">
        <f t="shared" si="1"/>
        <v>1750</v>
      </c>
      <c r="D86" s="4">
        <v>0</v>
      </c>
      <c r="E86" s="4">
        <v>350</v>
      </c>
      <c r="F86" s="4">
        <f>475</f>
        <v>475</v>
      </c>
      <c r="G86" s="4">
        <f>350+575</f>
        <v>925</v>
      </c>
      <c r="H86" s="3"/>
      <c r="I86" s="3"/>
    </row>
    <row r="87" spans="1:9" ht="15" customHeight="1">
      <c r="A87" s="14"/>
      <c r="B87" s="15" t="s">
        <v>354</v>
      </c>
      <c r="C87" s="4">
        <f t="shared" si="1"/>
        <v>1700</v>
      </c>
      <c r="D87" s="4">
        <v>0</v>
      </c>
      <c r="E87" s="4">
        <v>225</v>
      </c>
      <c r="F87" s="4">
        <f>250+225+175+200+300</f>
        <v>1150</v>
      </c>
      <c r="G87" s="4">
        <f>325</f>
        <v>325</v>
      </c>
      <c r="H87" s="3"/>
      <c r="I87" s="3"/>
    </row>
    <row r="88" spans="1:9" ht="15" customHeight="1">
      <c r="A88" s="14"/>
      <c r="B88" s="15" t="s">
        <v>334</v>
      </c>
      <c r="C88" s="4">
        <f t="shared" si="1"/>
        <v>1680</v>
      </c>
      <c r="D88" s="4">
        <v>0</v>
      </c>
      <c r="E88" s="4">
        <f>130+300</f>
        <v>430</v>
      </c>
      <c r="F88" s="4">
        <f>275+275+225+475</f>
        <v>1250</v>
      </c>
      <c r="G88" s="4">
        <v>0</v>
      </c>
      <c r="H88" s="3"/>
      <c r="I88" s="3"/>
    </row>
    <row r="89" spans="1:9" ht="15" customHeight="1">
      <c r="A89" s="14"/>
      <c r="B89" s="15" t="s">
        <v>312</v>
      </c>
      <c r="C89" s="4">
        <f t="shared" si="1"/>
        <v>1660</v>
      </c>
      <c r="D89" s="4">
        <v>0</v>
      </c>
      <c r="E89" s="4">
        <f>175</f>
        <v>175</v>
      </c>
      <c r="F89" s="4">
        <f>275+375+300+160</f>
        <v>1110</v>
      </c>
      <c r="G89" s="4">
        <f>375</f>
        <v>375</v>
      </c>
      <c r="H89" s="3"/>
      <c r="I89" s="3"/>
    </row>
    <row r="90" spans="1:9" ht="15" customHeight="1">
      <c r="A90" s="14"/>
      <c r="B90" s="15" t="s">
        <v>195</v>
      </c>
      <c r="C90" s="4">
        <f t="shared" si="1"/>
        <v>1625</v>
      </c>
      <c r="D90" s="4">
        <f>300+325</f>
        <v>625</v>
      </c>
      <c r="E90" s="4">
        <v>0</v>
      </c>
      <c r="F90" s="4">
        <f>350+300</f>
        <v>650</v>
      </c>
      <c r="G90" s="4">
        <f>350</f>
        <v>350</v>
      </c>
      <c r="H90" s="3"/>
      <c r="I90" s="3"/>
    </row>
    <row r="91" spans="1:9" ht="15" customHeight="1">
      <c r="A91" s="14"/>
      <c r="B91" s="15" t="s">
        <v>261</v>
      </c>
      <c r="C91" s="4">
        <f t="shared" si="1"/>
        <v>1620</v>
      </c>
      <c r="D91" s="4">
        <f>225</f>
        <v>225</v>
      </c>
      <c r="E91" s="4">
        <v>160</v>
      </c>
      <c r="F91" s="4">
        <f>250+160+225</f>
        <v>635</v>
      </c>
      <c r="G91" s="4">
        <f>325+115+160</f>
        <v>600</v>
      </c>
      <c r="H91" s="3"/>
      <c r="I91" s="3"/>
    </row>
    <row r="92" spans="1:9" ht="15" customHeight="1">
      <c r="A92" s="14"/>
      <c r="B92" s="15" t="s">
        <v>90</v>
      </c>
      <c r="C92" s="4">
        <f t="shared" si="1"/>
        <v>1550</v>
      </c>
      <c r="D92" s="4">
        <f>175+175</f>
        <v>350</v>
      </c>
      <c r="E92" s="4">
        <f>350+175+200+225+250</f>
        <v>1200</v>
      </c>
      <c r="F92" s="4">
        <v>0</v>
      </c>
      <c r="G92" s="4">
        <v>0</v>
      </c>
      <c r="H92" s="3"/>
      <c r="I92" s="3"/>
    </row>
    <row r="93" spans="1:7" ht="15" customHeight="1">
      <c r="A93" s="14"/>
      <c r="B93" s="15" t="s">
        <v>159</v>
      </c>
      <c r="C93" s="4">
        <f t="shared" si="1"/>
        <v>1495</v>
      </c>
      <c r="D93" s="4">
        <f>160+350+300+300</f>
        <v>1110</v>
      </c>
      <c r="E93" s="4">
        <f>225</f>
        <v>225</v>
      </c>
      <c r="F93" s="4">
        <f>160</f>
        <v>160</v>
      </c>
      <c r="G93" s="4">
        <v>0</v>
      </c>
    </row>
    <row r="94" spans="1:7" ht="15" customHeight="1">
      <c r="A94" s="14"/>
      <c r="B94" s="15" t="s">
        <v>380</v>
      </c>
      <c r="C94" s="4">
        <f t="shared" si="1"/>
        <v>1425</v>
      </c>
      <c r="D94" s="4">
        <v>0</v>
      </c>
      <c r="E94" s="4">
        <v>0</v>
      </c>
      <c r="F94" s="4">
        <f>375</f>
        <v>375</v>
      </c>
      <c r="G94" s="4">
        <f>575+475</f>
        <v>1050</v>
      </c>
    </row>
    <row r="95" spans="1:7" ht="15" customHeight="1">
      <c r="A95" s="14"/>
      <c r="B95" s="15" t="s">
        <v>18</v>
      </c>
      <c r="C95" s="4">
        <f t="shared" si="1"/>
        <v>1410</v>
      </c>
      <c r="D95" s="4">
        <f>475+175+175</f>
        <v>825</v>
      </c>
      <c r="E95" s="4">
        <f>160</f>
        <v>160</v>
      </c>
      <c r="F95" s="4">
        <f>175</f>
        <v>175</v>
      </c>
      <c r="G95" s="4">
        <f>250</f>
        <v>250</v>
      </c>
    </row>
    <row r="96" spans="1:7" ht="15" customHeight="1">
      <c r="A96" s="14"/>
      <c r="B96" s="15" t="s">
        <v>332</v>
      </c>
      <c r="C96" s="4">
        <f t="shared" si="1"/>
        <v>1390</v>
      </c>
      <c r="D96" s="4">
        <v>0</v>
      </c>
      <c r="E96" s="4">
        <f>250+475</f>
        <v>725</v>
      </c>
      <c r="F96" s="4">
        <f>325+225+115</f>
        <v>665</v>
      </c>
      <c r="G96" s="4">
        <v>0</v>
      </c>
    </row>
    <row r="97" spans="1:7" ht="15" customHeight="1">
      <c r="A97" s="14"/>
      <c r="B97" s="15" t="s">
        <v>12</v>
      </c>
      <c r="C97" s="4">
        <f t="shared" si="1"/>
        <v>1390</v>
      </c>
      <c r="D97" s="4">
        <f>575</f>
        <v>575</v>
      </c>
      <c r="E97" s="4">
        <v>0</v>
      </c>
      <c r="F97" s="4">
        <f>115</f>
        <v>115</v>
      </c>
      <c r="G97" s="4">
        <f>350+350</f>
        <v>700</v>
      </c>
    </row>
    <row r="98" spans="1:7" ht="15" customHeight="1">
      <c r="A98" s="14"/>
      <c r="B98" s="15" t="s">
        <v>129</v>
      </c>
      <c r="C98" s="4">
        <f t="shared" si="1"/>
        <v>1375</v>
      </c>
      <c r="D98" s="4">
        <v>0</v>
      </c>
      <c r="E98" s="4">
        <f>145+575</f>
        <v>720</v>
      </c>
      <c r="F98" s="4">
        <f>275</f>
        <v>275</v>
      </c>
      <c r="G98" s="4">
        <f>130+250</f>
        <v>380</v>
      </c>
    </row>
    <row r="99" spans="1:7" ht="15" customHeight="1">
      <c r="A99" s="14"/>
      <c r="B99" s="15" t="s">
        <v>110</v>
      </c>
      <c r="C99" s="4">
        <f t="shared" si="1"/>
        <v>1350</v>
      </c>
      <c r="D99" s="4">
        <v>0</v>
      </c>
      <c r="E99" s="4">
        <v>0</v>
      </c>
      <c r="F99" s="4">
        <f>425</f>
        <v>425</v>
      </c>
      <c r="G99" s="4">
        <f>325+375+225</f>
        <v>925</v>
      </c>
    </row>
    <row r="100" spans="1:7" ht="15" customHeight="1">
      <c r="A100" s="14"/>
      <c r="B100" s="14" t="s">
        <v>353</v>
      </c>
      <c r="C100" s="4">
        <f t="shared" si="1"/>
        <v>1325</v>
      </c>
      <c r="D100" s="4">
        <v>0</v>
      </c>
      <c r="E100" s="4">
        <f>350</f>
        <v>350</v>
      </c>
      <c r="F100" s="4">
        <f>325+325+325</f>
        <v>975</v>
      </c>
      <c r="G100" s="4">
        <v>0</v>
      </c>
    </row>
    <row r="101" spans="1:7" ht="15" customHeight="1">
      <c r="A101" s="14"/>
      <c r="B101" s="15" t="s">
        <v>379</v>
      </c>
      <c r="C101" s="4">
        <f t="shared" si="1"/>
        <v>1325</v>
      </c>
      <c r="D101" s="4">
        <v>0</v>
      </c>
      <c r="E101" s="4">
        <f>275</f>
        <v>275</v>
      </c>
      <c r="F101" s="4">
        <f>425</f>
        <v>425</v>
      </c>
      <c r="G101" s="4">
        <f>425+200</f>
        <v>625</v>
      </c>
    </row>
    <row r="102" spans="1:7" ht="15" customHeight="1">
      <c r="A102" s="14"/>
      <c r="B102" s="15" t="s">
        <v>394</v>
      </c>
      <c r="C102" s="4">
        <f t="shared" si="1"/>
        <v>1275</v>
      </c>
      <c r="D102" s="4">
        <v>0</v>
      </c>
      <c r="E102" s="4">
        <v>0</v>
      </c>
      <c r="F102" s="4">
        <f>225</f>
        <v>225</v>
      </c>
      <c r="G102" s="4">
        <f>350+200+325+175</f>
        <v>1050</v>
      </c>
    </row>
    <row r="103" spans="1:7" ht="15" customHeight="1">
      <c r="A103" s="14"/>
      <c r="B103" s="15" t="s">
        <v>249</v>
      </c>
      <c r="C103" s="4">
        <f t="shared" si="1"/>
        <v>1270</v>
      </c>
      <c r="D103" s="4">
        <f>300+325+275</f>
        <v>900</v>
      </c>
      <c r="E103" s="4">
        <f>145+225</f>
        <v>370</v>
      </c>
      <c r="F103" s="4">
        <v>0</v>
      </c>
      <c r="G103" s="4">
        <v>0</v>
      </c>
    </row>
    <row r="104" spans="1:7" ht="15" customHeight="1">
      <c r="A104" s="14"/>
      <c r="B104" s="15" t="s">
        <v>176</v>
      </c>
      <c r="C104" s="4">
        <f t="shared" si="1"/>
        <v>1225</v>
      </c>
      <c r="D104" s="4">
        <f>575+175</f>
        <v>750</v>
      </c>
      <c r="E104" s="4">
        <f>200+275</f>
        <v>475</v>
      </c>
      <c r="F104" s="4">
        <v>0</v>
      </c>
      <c r="G104" s="4">
        <v>0</v>
      </c>
    </row>
    <row r="105" spans="1:7" ht="15" customHeight="1">
      <c r="A105" s="14"/>
      <c r="B105" s="15" t="s">
        <v>398</v>
      </c>
      <c r="C105" s="4">
        <f t="shared" si="1"/>
        <v>1195</v>
      </c>
      <c r="D105" s="4">
        <v>0</v>
      </c>
      <c r="E105" s="4">
        <v>0</v>
      </c>
      <c r="F105" s="4">
        <f>130</f>
        <v>130</v>
      </c>
      <c r="G105" s="4">
        <f>300+350+115+300</f>
        <v>1065</v>
      </c>
    </row>
    <row r="106" spans="1:7" ht="15" customHeight="1">
      <c r="A106" s="14"/>
      <c r="B106" s="15" t="s">
        <v>382</v>
      </c>
      <c r="C106" s="4">
        <f t="shared" si="1"/>
        <v>1175</v>
      </c>
      <c r="D106" s="4">
        <v>0</v>
      </c>
      <c r="E106" s="4">
        <v>0</v>
      </c>
      <c r="F106" s="4">
        <f>325</f>
        <v>325</v>
      </c>
      <c r="G106" s="4">
        <f>300+350+200</f>
        <v>850</v>
      </c>
    </row>
    <row r="107" spans="1:7" ht="15" customHeight="1">
      <c r="A107" s="14"/>
      <c r="B107" s="15" t="s">
        <v>267</v>
      </c>
      <c r="C107" s="4">
        <f t="shared" si="1"/>
        <v>1175</v>
      </c>
      <c r="D107" s="4">
        <f>425</f>
        <v>425</v>
      </c>
      <c r="E107" s="4">
        <f>275</f>
        <v>275</v>
      </c>
      <c r="F107" s="4">
        <f>475</f>
        <v>475</v>
      </c>
      <c r="G107" s="4">
        <v>0</v>
      </c>
    </row>
    <row r="108" spans="1:7" ht="15" customHeight="1">
      <c r="A108" s="14"/>
      <c r="B108" s="15" t="s">
        <v>324</v>
      </c>
      <c r="C108" s="4">
        <f t="shared" si="1"/>
        <v>1175</v>
      </c>
      <c r="D108" s="4">
        <v>0</v>
      </c>
      <c r="E108" s="4">
        <f>375+300</f>
        <v>675</v>
      </c>
      <c r="F108" s="4">
        <f>225</f>
        <v>225</v>
      </c>
      <c r="G108" s="4">
        <f>275</f>
        <v>275</v>
      </c>
    </row>
    <row r="109" spans="1:7" ht="15" customHeight="1">
      <c r="A109" s="14"/>
      <c r="B109" s="15" t="s">
        <v>69</v>
      </c>
      <c r="C109" s="4">
        <f t="shared" si="1"/>
        <v>1150</v>
      </c>
      <c r="D109" s="4">
        <v>0</v>
      </c>
      <c r="E109" s="4">
        <f>275+475+175+225</f>
        <v>1150</v>
      </c>
      <c r="F109" s="4">
        <v>0</v>
      </c>
      <c r="G109" s="4">
        <v>0</v>
      </c>
    </row>
    <row r="110" spans="1:7" ht="15" customHeight="1">
      <c r="A110" s="14"/>
      <c r="B110" s="15" t="s">
        <v>196</v>
      </c>
      <c r="C110" s="4">
        <f t="shared" si="1"/>
        <v>1125</v>
      </c>
      <c r="D110" s="4">
        <f>375+375+375</f>
        <v>1125</v>
      </c>
      <c r="E110" s="4">
        <v>0</v>
      </c>
      <c r="F110" s="4">
        <v>0</v>
      </c>
      <c r="G110" s="4">
        <v>0</v>
      </c>
    </row>
    <row r="111" spans="1:7" ht="15" customHeight="1">
      <c r="A111" s="14"/>
      <c r="B111" s="15" t="s">
        <v>309</v>
      </c>
      <c r="C111" s="4">
        <f t="shared" si="1"/>
        <v>1100</v>
      </c>
      <c r="D111" s="4">
        <v>0</v>
      </c>
      <c r="E111" s="4">
        <f>425+475</f>
        <v>900</v>
      </c>
      <c r="F111" s="4">
        <f>200</f>
        <v>200</v>
      </c>
      <c r="G111" s="4">
        <v>0</v>
      </c>
    </row>
    <row r="112" spans="1:7" ht="15" customHeight="1">
      <c r="A112" s="14"/>
      <c r="B112" s="15" t="s">
        <v>284</v>
      </c>
      <c r="C112" s="4">
        <f t="shared" si="1"/>
        <v>1075</v>
      </c>
      <c r="D112" s="4">
        <v>0</v>
      </c>
      <c r="E112" s="4">
        <f>175+350+375</f>
        <v>900</v>
      </c>
      <c r="F112" s="4">
        <f>175</f>
        <v>175</v>
      </c>
      <c r="G112" s="4">
        <v>0</v>
      </c>
    </row>
    <row r="113" spans="1:7" ht="15" customHeight="1">
      <c r="A113" s="14"/>
      <c r="B113" s="15" t="s">
        <v>383</v>
      </c>
      <c r="C113" s="4">
        <f t="shared" si="1"/>
        <v>1075</v>
      </c>
      <c r="D113" s="4">
        <v>0</v>
      </c>
      <c r="E113" s="4">
        <v>0</v>
      </c>
      <c r="F113" s="4">
        <f>300</f>
        <v>300</v>
      </c>
      <c r="G113" s="4">
        <f>275+275+225</f>
        <v>775</v>
      </c>
    </row>
    <row r="114" spans="1:7" ht="15" customHeight="1">
      <c r="A114" s="14"/>
      <c r="B114" s="14" t="s">
        <v>199</v>
      </c>
      <c r="C114" s="4">
        <f t="shared" si="1"/>
        <v>1050</v>
      </c>
      <c r="D114" s="4">
        <v>0</v>
      </c>
      <c r="E114" s="4">
        <f>575</f>
        <v>575</v>
      </c>
      <c r="F114" s="4">
        <f>200</f>
        <v>200</v>
      </c>
      <c r="G114" s="4">
        <f>275</f>
        <v>275</v>
      </c>
    </row>
    <row r="115" spans="1:7" ht="15" customHeight="1">
      <c r="A115" s="14"/>
      <c r="B115" s="15" t="s">
        <v>198</v>
      </c>
      <c r="C115" s="4">
        <f t="shared" si="1"/>
        <v>1045</v>
      </c>
      <c r="D115" s="4">
        <v>0</v>
      </c>
      <c r="E115" s="4">
        <v>0</v>
      </c>
      <c r="F115" s="4">
        <f>250+325+325</f>
        <v>900</v>
      </c>
      <c r="G115" s="4">
        <f>145</f>
        <v>145</v>
      </c>
    </row>
    <row r="116" spans="1:7" ht="15" customHeight="1">
      <c r="A116" s="14"/>
      <c r="B116" s="15" t="s">
        <v>36</v>
      </c>
      <c r="C116" s="4">
        <f t="shared" si="1"/>
        <v>1025</v>
      </c>
      <c r="D116" s="4">
        <f>325+425+275</f>
        <v>1025</v>
      </c>
      <c r="E116" s="4">
        <v>0</v>
      </c>
      <c r="F116" s="4">
        <v>0</v>
      </c>
      <c r="G116" s="4">
        <v>0</v>
      </c>
    </row>
    <row r="117" spans="1:7" ht="15" customHeight="1">
      <c r="A117" s="14"/>
      <c r="B117" s="15" t="s">
        <v>282</v>
      </c>
      <c r="C117" s="4">
        <f t="shared" si="1"/>
        <v>1025</v>
      </c>
      <c r="D117" s="4">
        <v>0</v>
      </c>
      <c r="E117" s="4">
        <f>225</f>
        <v>225</v>
      </c>
      <c r="F117" s="4">
        <v>0</v>
      </c>
      <c r="G117" s="4">
        <f>475+325</f>
        <v>800</v>
      </c>
    </row>
    <row r="118" spans="1:7" ht="15" customHeight="1">
      <c r="A118" s="14"/>
      <c r="B118" s="15" t="s">
        <v>363</v>
      </c>
      <c r="C118" s="4">
        <f t="shared" si="1"/>
        <v>1015</v>
      </c>
      <c r="D118" s="4">
        <v>0</v>
      </c>
      <c r="E118" s="4">
        <v>0</v>
      </c>
      <c r="F118" s="4">
        <f>200</f>
        <v>200</v>
      </c>
      <c r="G118" s="4">
        <f>115+375+325</f>
        <v>815</v>
      </c>
    </row>
    <row r="119" spans="1:7" ht="15" customHeight="1">
      <c r="A119" s="14"/>
      <c r="B119" s="15" t="s">
        <v>16</v>
      </c>
      <c r="C119" s="4">
        <f t="shared" si="1"/>
        <v>1000</v>
      </c>
      <c r="D119" s="4">
        <v>0</v>
      </c>
      <c r="E119" s="4">
        <f>425+575</f>
        <v>1000</v>
      </c>
      <c r="F119" s="4">
        <v>0</v>
      </c>
      <c r="G119" s="4">
        <v>0</v>
      </c>
    </row>
    <row r="120" spans="1:7" ht="15" customHeight="1">
      <c r="A120" s="14"/>
      <c r="B120" s="14" t="s">
        <v>292</v>
      </c>
      <c r="C120" s="4">
        <f t="shared" si="1"/>
        <v>975</v>
      </c>
      <c r="D120" s="4">
        <v>0</v>
      </c>
      <c r="E120" s="4">
        <f>175</f>
        <v>175</v>
      </c>
      <c r="F120" s="4">
        <f>200</f>
        <v>200</v>
      </c>
      <c r="G120" s="4">
        <f>325+275</f>
        <v>600</v>
      </c>
    </row>
    <row r="121" spans="1:7" ht="15" customHeight="1">
      <c r="A121" s="14"/>
      <c r="B121" s="15" t="s">
        <v>393</v>
      </c>
      <c r="C121" s="4">
        <f t="shared" si="1"/>
        <v>975</v>
      </c>
      <c r="D121" s="4">
        <v>0</v>
      </c>
      <c r="E121" s="4">
        <v>0</v>
      </c>
      <c r="F121" s="4">
        <f>300</f>
        <v>300</v>
      </c>
      <c r="G121" s="4">
        <f>300+375</f>
        <v>675</v>
      </c>
    </row>
    <row r="122" spans="1:7" ht="15" customHeight="1">
      <c r="A122" s="14"/>
      <c r="B122" s="15" t="s">
        <v>135</v>
      </c>
      <c r="C122" s="4">
        <f t="shared" si="1"/>
        <v>975</v>
      </c>
      <c r="D122" s="4">
        <f>325+325</f>
        <v>650</v>
      </c>
      <c r="E122" s="4">
        <f>325</f>
        <v>325</v>
      </c>
      <c r="F122" s="4">
        <v>0</v>
      </c>
      <c r="G122" s="4">
        <v>0</v>
      </c>
    </row>
    <row r="123" spans="1:7" ht="15" customHeight="1">
      <c r="A123" s="14"/>
      <c r="B123" s="15" t="s">
        <v>181</v>
      </c>
      <c r="C123" s="4">
        <f t="shared" si="1"/>
        <v>955</v>
      </c>
      <c r="D123" s="4">
        <f>575</f>
        <v>575</v>
      </c>
      <c r="E123" s="4">
        <f>130</f>
        <v>130</v>
      </c>
      <c r="F123" s="4">
        <f>250</f>
        <v>250</v>
      </c>
      <c r="G123" s="4">
        <v>0</v>
      </c>
    </row>
    <row r="124" spans="1:7" ht="15" customHeight="1">
      <c r="A124" s="14"/>
      <c r="B124" s="15" t="s">
        <v>289</v>
      </c>
      <c r="C124" s="24">
        <f t="shared" si="1"/>
        <v>950</v>
      </c>
      <c r="D124" s="24">
        <v>0</v>
      </c>
      <c r="E124" s="24">
        <f>575</f>
        <v>575</v>
      </c>
      <c r="F124" s="4">
        <f>375</f>
        <v>375</v>
      </c>
      <c r="G124" s="4">
        <v>0</v>
      </c>
    </row>
    <row r="125" spans="1:7" ht="15" customHeight="1">
      <c r="A125" s="14"/>
      <c r="B125" s="15" t="s">
        <v>297</v>
      </c>
      <c r="C125" s="4">
        <f t="shared" si="1"/>
        <v>950</v>
      </c>
      <c r="D125" s="4">
        <v>0</v>
      </c>
      <c r="E125" s="4">
        <f>475+475</f>
        <v>950</v>
      </c>
      <c r="F125" s="4">
        <v>0</v>
      </c>
      <c r="G125" s="4">
        <v>0</v>
      </c>
    </row>
    <row r="126" spans="1:7" ht="15" customHeight="1">
      <c r="A126" s="14"/>
      <c r="B126" s="15" t="s">
        <v>146</v>
      </c>
      <c r="C126" s="4">
        <f t="shared" si="1"/>
        <v>925</v>
      </c>
      <c r="D126" s="4">
        <f>275+300+350</f>
        <v>925</v>
      </c>
      <c r="E126" s="4">
        <v>0</v>
      </c>
      <c r="F126" s="4">
        <v>0</v>
      </c>
      <c r="G126" s="4">
        <v>0</v>
      </c>
    </row>
    <row r="127" spans="1:7" ht="15" customHeight="1">
      <c r="A127" s="14"/>
      <c r="B127" s="15" t="s">
        <v>390</v>
      </c>
      <c r="C127" s="4">
        <f t="shared" si="1"/>
        <v>900</v>
      </c>
      <c r="D127" s="4">
        <v>0</v>
      </c>
      <c r="E127" s="4">
        <v>0</v>
      </c>
      <c r="F127" s="4">
        <f>475</f>
        <v>475</v>
      </c>
      <c r="G127" s="4">
        <f>425</f>
        <v>425</v>
      </c>
    </row>
    <row r="128" spans="1:7" ht="15" customHeight="1">
      <c r="A128" s="14"/>
      <c r="B128" s="15" t="s">
        <v>314</v>
      </c>
      <c r="C128" s="4">
        <f t="shared" si="1"/>
        <v>875</v>
      </c>
      <c r="D128" s="4">
        <f>175+225</f>
        <v>400</v>
      </c>
      <c r="E128" s="4">
        <f>200+275</f>
        <v>475</v>
      </c>
      <c r="F128" s="4">
        <v>0</v>
      </c>
      <c r="G128" s="4">
        <v>0</v>
      </c>
    </row>
    <row r="129" spans="1:7" ht="15" customHeight="1">
      <c r="A129" s="14"/>
      <c r="B129" s="15" t="s">
        <v>392</v>
      </c>
      <c r="C129" s="4">
        <f t="shared" si="1"/>
        <v>875</v>
      </c>
      <c r="D129" s="4">
        <v>0</v>
      </c>
      <c r="E129" s="4">
        <v>0</v>
      </c>
      <c r="F129" s="4">
        <f>325</f>
        <v>325</v>
      </c>
      <c r="G129" s="4">
        <f>275+275</f>
        <v>550</v>
      </c>
    </row>
    <row r="130" spans="1:7" ht="15" customHeight="1">
      <c r="A130" s="14"/>
      <c r="B130" s="15" t="s">
        <v>307</v>
      </c>
      <c r="C130" s="4">
        <f t="shared" si="1"/>
        <v>835</v>
      </c>
      <c r="D130" s="4">
        <v>0</v>
      </c>
      <c r="E130" s="4">
        <f>160</f>
        <v>160</v>
      </c>
      <c r="F130" s="4">
        <f>475</f>
        <v>475</v>
      </c>
      <c r="G130" s="4">
        <f>200</f>
        <v>200</v>
      </c>
    </row>
    <row r="131" spans="1:7" ht="15" customHeight="1">
      <c r="A131" s="14"/>
      <c r="B131" s="15" t="s">
        <v>272</v>
      </c>
      <c r="C131" s="4">
        <f t="shared" si="1"/>
        <v>795</v>
      </c>
      <c r="D131" s="4">
        <f>225</f>
        <v>225</v>
      </c>
      <c r="E131" s="4">
        <f>145+225</f>
        <v>370</v>
      </c>
      <c r="F131" s="4">
        <v>0</v>
      </c>
      <c r="G131" s="4">
        <f>200</f>
        <v>200</v>
      </c>
    </row>
    <row r="132" spans="1:7" ht="15" customHeight="1">
      <c r="A132" s="14"/>
      <c r="B132" s="15" t="s">
        <v>260</v>
      </c>
      <c r="C132" s="4">
        <f t="shared" si="1"/>
        <v>785</v>
      </c>
      <c r="D132" s="4">
        <f>350+275</f>
        <v>625</v>
      </c>
      <c r="E132" s="4">
        <f>160</f>
        <v>160</v>
      </c>
      <c r="F132" s="4">
        <v>0</v>
      </c>
      <c r="G132" s="4">
        <v>0</v>
      </c>
    </row>
    <row r="133" spans="1:7" ht="15" customHeight="1">
      <c r="A133" s="14"/>
      <c r="B133" s="15" t="s">
        <v>45</v>
      </c>
      <c r="C133" s="4">
        <f t="shared" si="1"/>
        <v>775</v>
      </c>
      <c r="D133" s="4">
        <f>225+375</f>
        <v>600</v>
      </c>
      <c r="E133" s="4">
        <f>175</f>
        <v>175</v>
      </c>
      <c r="F133" s="4">
        <v>0</v>
      </c>
      <c r="G133" s="4">
        <v>0</v>
      </c>
    </row>
    <row r="134" spans="1:7" ht="15" customHeight="1">
      <c r="A134" s="14"/>
      <c r="B134" s="15" t="s">
        <v>270</v>
      </c>
      <c r="C134" s="4">
        <f t="shared" si="1"/>
        <v>775</v>
      </c>
      <c r="D134" s="4">
        <f>425</f>
        <v>425</v>
      </c>
      <c r="E134" s="4">
        <v>0</v>
      </c>
      <c r="F134" s="4">
        <f>350</f>
        <v>350</v>
      </c>
      <c r="G134" s="4">
        <v>0</v>
      </c>
    </row>
    <row r="135" spans="1:7" ht="15" customHeight="1">
      <c r="A135" s="14"/>
      <c r="B135" s="15" t="s">
        <v>405</v>
      </c>
      <c r="C135" s="4">
        <f t="shared" si="1"/>
        <v>750</v>
      </c>
      <c r="D135" s="4">
        <v>0</v>
      </c>
      <c r="E135" s="4">
        <v>0</v>
      </c>
      <c r="F135" s="4">
        <v>0</v>
      </c>
      <c r="G135" s="4">
        <f>325+425</f>
        <v>750</v>
      </c>
    </row>
    <row r="136" spans="1:7" ht="15" customHeight="1">
      <c r="A136" s="14"/>
      <c r="B136" s="15" t="s">
        <v>124</v>
      </c>
      <c r="C136" s="4">
        <f t="shared" si="1"/>
        <v>750</v>
      </c>
      <c r="D136" s="4">
        <f>425+325</f>
        <v>750</v>
      </c>
      <c r="E136" s="4">
        <v>0</v>
      </c>
      <c r="F136" s="4">
        <v>0</v>
      </c>
      <c r="G136" s="4">
        <v>0</v>
      </c>
    </row>
    <row r="137" spans="1:7" ht="15" customHeight="1">
      <c r="A137" s="14"/>
      <c r="B137" s="15" t="s">
        <v>346</v>
      </c>
      <c r="C137" s="4">
        <f aca="true" t="shared" si="2" ref="C137:C200">D137+E137+F137+G137</f>
        <v>750</v>
      </c>
      <c r="D137" s="4">
        <v>0</v>
      </c>
      <c r="E137" s="4">
        <v>0</v>
      </c>
      <c r="F137" s="4">
        <f>275</f>
        <v>275</v>
      </c>
      <c r="G137" s="4">
        <f>475</f>
        <v>475</v>
      </c>
    </row>
    <row r="138" spans="1:7" ht="15" customHeight="1">
      <c r="A138" s="14"/>
      <c r="B138" s="15" t="s">
        <v>348</v>
      </c>
      <c r="C138" s="4">
        <f t="shared" si="2"/>
        <v>750</v>
      </c>
      <c r="D138" s="4">
        <v>0</v>
      </c>
      <c r="E138" s="4">
        <v>0</v>
      </c>
      <c r="F138" s="4">
        <f>325+425</f>
        <v>750</v>
      </c>
      <c r="G138" s="4">
        <v>0</v>
      </c>
    </row>
    <row r="139" spans="1:7" ht="15" customHeight="1">
      <c r="A139" s="14"/>
      <c r="B139" s="15" t="s">
        <v>217</v>
      </c>
      <c r="C139" s="4">
        <f t="shared" si="2"/>
        <v>750</v>
      </c>
      <c r="D139" s="4">
        <f>175+160</f>
        <v>335</v>
      </c>
      <c r="E139" s="4">
        <f>115+300</f>
        <v>415</v>
      </c>
      <c r="F139" s="4">
        <v>0</v>
      </c>
      <c r="G139" s="4">
        <v>0</v>
      </c>
    </row>
    <row r="140" spans="1:7" ht="15" customHeight="1">
      <c r="A140" s="14"/>
      <c r="B140" s="15" t="s">
        <v>296</v>
      </c>
      <c r="C140" s="4">
        <f t="shared" si="2"/>
        <v>745</v>
      </c>
      <c r="D140" s="4">
        <v>0</v>
      </c>
      <c r="E140" s="4">
        <f>175</f>
        <v>175</v>
      </c>
      <c r="F140" s="4">
        <f>250+175</f>
        <v>425</v>
      </c>
      <c r="G140" s="4">
        <f>145</f>
        <v>145</v>
      </c>
    </row>
    <row r="141" spans="1:7" ht="15" customHeight="1">
      <c r="A141" s="14"/>
      <c r="B141" s="15" t="s">
        <v>389</v>
      </c>
      <c r="C141" s="4">
        <f t="shared" si="2"/>
        <v>740</v>
      </c>
      <c r="D141" s="4">
        <v>0</v>
      </c>
      <c r="E141" s="4">
        <v>0</v>
      </c>
      <c r="F141" s="4">
        <f>130+250</f>
        <v>380</v>
      </c>
      <c r="G141" s="4">
        <f>200+160</f>
        <v>360</v>
      </c>
    </row>
    <row r="142" spans="1:7" ht="15" customHeight="1">
      <c r="A142" s="14"/>
      <c r="B142" s="15" t="s">
        <v>52</v>
      </c>
      <c r="C142" s="4">
        <f t="shared" si="2"/>
        <v>725</v>
      </c>
      <c r="D142" s="4">
        <f>300+425</f>
        <v>725</v>
      </c>
      <c r="E142" s="4">
        <v>0</v>
      </c>
      <c r="F142" s="4">
        <v>0</v>
      </c>
      <c r="G142" s="4">
        <v>0</v>
      </c>
    </row>
    <row r="143" spans="1:7" ht="15" customHeight="1">
      <c r="A143" s="14"/>
      <c r="B143" s="15" t="s">
        <v>252</v>
      </c>
      <c r="C143" s="4">
        <f t="shared" si="2"/>
        <v>725</v>
      </c>
      <c r="D143" s="4">
        <f>300</f>
        <v>300</v>
      </c>
      <c r="E143" s="4">
        <f>425</f>
        <v>425</v>
      </c>
      <c r="F143" s="4">
        <v>0</v>
      </c>
      <c r="G143" s="4">
        <v>0</v>
      </c>
    </row>
    <row r="144" spans="1:7" ht="15" customHeight="1">
      <c r="A144" s="14"/>
      <c r="B144" s="15" t="s">
        <v>275</v>
      </c>
      <c r="C144" s="4">
        <f t="shared" si="2"/>
        <v>720</v>
      </c>
      <c r="D144" s="4">
        <f>145</f>
        <v>145</v>
      </c>
      <c r="E144" s="4">
        <f>575</f>
        <v>575</v>
      </c>
      <c r="F144" s="4">
        <v>0</v>
      </c>
      <c r="G144" s="4">
        <v>0</v>
      </c>
    </row>
    <row r="145" spans="1:7" ht="15" customHeight="1">
      <c r="A145" s="14"/>
      <c r="B145" s="15" t="s">
        <v>266</v>
      </c>
      <c r="C145" s="4">
        <f t="shared" si="2"/>
        <v>700</v>
      </c>
      <c r="D145" s="4">
        <f>475</f>
        <v>475</v>
      </c>
      <c r="E145" s="4">
        <f>225</f>
        <v>225</v>
      </c>
      <c r="F145" s="4">
        <v>0</v>
      </c>
      <c r="G145" s="4">
        <v>0</v>
      </c>
    </row>
    <row r="146" spans="1:7" ht="15" customHeight="1">
      <c r="A146" s="14"/>
      <c r="B146" s="15" t="s">
        <v>223</v>
      </c>
      <c r="C146" s="4">
        <f t="shared" si="2"/>
        <v>700</v>
      </c>
      <c r="D146" s="4">
        <f>350+350</f>
        <v>700</v>
      </c>
      <c r="E146" s="4">
        <v>0</v>
      </c>
      <c r="F146" s="4">
        <v>0</v>
      </c>
      <c r="G146" s="4">
        <v>0</v>
      </c>
    </row>
    <row r="147" spans="1:7" ht="15" customHeight="1">
      <c r="A147" s="14"/>
      <c r="B147" s="14" t="s">
        <v>404</v>
      </c>
      <c r="C147" s="4">
        <f t="shared" si="2"/>
        <v>675</v>
      </c>
      <c r="D147" s="4">
        <v>0</v>
      </c>
      <c r="E147" s="4">
        <v>0</v>
      </c>
      <c r="F147" s="4">
        <v>0</v>
      </c>
      <c r="G147" s="4">
        <f>375+300</f>
        <v>675</v>
      </c>
    </row>
    <row r="148" spans="1:7" ht="15" customHeight="1">
      <c r="A148" s="14"/>
      <c r="B148" s="15" t="s">
        <v>301</v>
      </c>
      <c r="C148" s="4">
        <f t="shared" si="2"/>
        <v>675</v>
      </c>
      <c r="D148" s="4">
        <v>0</v>
      </c>
      <c r="E148" s="4">
        <f>350+325</f>
        <v>675</v>
      </c>
      <c r="F148" s="4">
        <v>0</v>
      </c>
      <c r="G148" s="4">
        <v>0</v>
      </c>
    </row>
    <row r="149" spans="1:7" ht="15" customHeight="1">
      <c r="A149" s="14"/>
      <c r="B149" s="15" t="s">
        <v>286</v>
      </c>
      <c r="C149" s="4">
        <f t="shared" si="2"/>
        <v>675</v>
      </c>
      <c r="D149" s="4">
        <v>0</v>
      </c>
      <c r="E149" s="4">
        <f>200</f>
        <v>200</v>
      </c>
      <c r="F149" s="4">
        <v>0</v>
      </c>
      <c r="G149" s="4">
        <f>475</f>
        <v>475</v>
      </c>
    </row>
    <row r="150" spans="1:7" ht="15" customHeight="1">
      <c r="A150" s="14"/>
      <c r="B150" s="15" t="s">
        <v>184</v>
      </c>
      <c r="C150" s="4">
        <f t="shared" si="2"/>
        <v>675</v>
      </c>
      <c r="D150" s="4">
        <f>425</f>
        <v>425</v>
      </c>
      <c r="E150" s="4">
        <f>250</f>
        <v>250</v>
      </c>
      <c r="F150" s="4">
        <v>0</v>
      </c>
      <c r="G150" s="4">
        <v>0</v>
      </c>
    </row>
    <row r="151" spans="1:7" ht="15" customHeight="1">
      <c r="A151" s="14"/>
      <c r="B151" s="15" t="s">
        <v>387</v>
      </c>
      <c r="C151" s="4">
        <f t="shared" si="2"/>
        <v>630</v>
      </c>
      <c r="D151" s="4">
        <v>0</v>
      </c>
      <c r="E151" s="4">
        <v>0</v>
      </c>
      <c r="F151" s="4">
        <f>200</f>
        <v>200</v>
      </c>
      <c r="G151" s="4">
        <f>130+300</f>
        <v>430</v>
      </c>
    </row>
    <row r="152" spans="1:7" ht="15" customHeight="1">
      <c r="A152" s="14"/>
      <c r="B152" s="15" t="s">
        <v>321</v>
      </c>
      <c r="C152" s="4">
        <f t="shared" si="2"/>
        <v>625</v>
      </c>
      <c r="D152" s="4">
        <v>0</v>
      </c>
      <c r="E152" s="4">
        <f>425</f>
        <v>425</v>
      </c>
      <c r="F152" s="4">
        <v>0</v>
      </c>
      <c r="G152" s="4">
        <f>200</f>
        <v>200</v>
      </c>
    </row>
    <row r="153" spans="1:7" ht="15" customHeight="1">
      <c r="A153" s="14"/>
      <c r="B153" s="15" t="s">
        <v>408</v>
      </c>
      <c r="C153" s="4">
        <f t="shared" si="2"/>
        <v>625</v>
      </c>
      <c r="D153" s="4">
        <v>0</v>
      </c>
      <c r="E153" s="4">
        <v>0</v>
      </c>
      <c r="F153" s="4">
        <v>0</v>
      </c>
      <c r="G153" s="4">
        <f>425+200</f>
        <v>625</v>
      </c>
    </row>
    <row r="154" spans="1:7" ht="15" customHeight="1">
      <c r="A154" s="14"/>
      <c r="B154" s="15" t="s">
        <v>336</v>
      </c>
      <c r="C154" s="4">
        <f t="shared" si="2"/>
        <v>620</v>
      </c>
      <c r="D154" s="4">
        <f>475+145</f>
        <v>620</v>
      </c>
      <c r="E154" s="4">
        <v>0</v>
      </c>
      <c r="F154" s="4">
        <v>0</v>
      </c>
      <c r="G154" s="4">
        <v>0</v>
      </c>
    </row>
    <row r="155" spans="1:7" ht="15" customHeight="1">
      <c r="A155" s="14"/>
      <c r="B155" s="15" t="s">
        <v>322</v>
      </c>
      <c r="C155" s="4">
        <f t="shared" si="2"/>
        <v>620</v>
      </c>
      <c r="D155" s="4">
        <v>0</v>
      </c>
      <c r="E155" s="4">
        <f>275+200</f>
        <v>475</v>
      </c>
      <c r="F155" s="4">
        <f>145</f>
        <v>145</v>
      </c>
      <c r="G155" s="4">
        <v>0</v>
      </c>
    </row>
    <row r="156" spans="1:7" ht="15" customHeight="1">
      <c r="A156" s="14"/>
      <c r="B156" s="15" t="s">
        <v>368</v>
      </c>
      <c r="C156" s="4">
        <f t="shared" si="2"/>
        <v>620</v>
      </c>
      <c r="D156" s="4">
        <v>0</v>
      </c>
      <c r="E156" s="4">
        <v>0</v>
      </c>
      <c r="F156" s="4">
        <f>160+300+160</f>
        <v>620</v>
      </c>
      <c r="G156" s="4">
        <v>0</v>
      </c>
    </row>
    <row r="157" spans="1:7" ht="15" customHeight="1">
      <c r="A157" s="14"/>
      <c r="B157" s="15" t="s">
        <v>156</v>
      </c>
      <c r="C157" s="4">
        <f t="shared" si="2"/>
        <v>600</v>
      </c>
      <c r="D157" s="4">
        <f>350</f>
        <v>350</v>
      </c>
      <c r="E157" s="4">
        <f>250</f>
        <v>250</v>
      </c>
      <c r="F157" s="4">
        <v>0</v>
      </c>
      <c r="G157" s="4">
        <v>0</v>
      </c>
    </row>
    <row r="158" spans="1:7" ht="15" customHeight="1">
      <c r="A158" s="14"/>
      <c r="B158" s="15" t="s">
        <v>116</v>
      </c>
      <c r="C158" s="4">
        <f t="shared" si="2"/>
        <v>600</v>
      </c>
      <c r="D158" s="4">
        <f>175</f>
        <v>175</v>
      </c>
      <c r="E158" s="4">
        <f>250</f>
        <v>250</v>
      </c>
      <c r="F158" s="4">
        <f>175</f>
        <v>175</v>
      </c>
      <c r="G158" s="4">
        <v>0</v>
      </c>
    </row>
    <row r="159" spans="1:7" ht="15" customHeight="1">
      <c r="A159" s="14"/>
      <c r="B159" s="15" t="s">
        <v>262</v>
      </c>
      <c r="C159" s="4">
        <f t="shared" si="2"/>
        <v>585</v>
      </c>
      <c r="D159" s="4">
        <f>325</f>
        <v>325</v>
      </c>
      <c r="E159" s="4">
        <v>115</v>
      </c>
      <c r="F159" s="4">
        <f>145</f>
        <v>145</v>
      </c>
      <c r="G159" s="4">
        <v>0</v>
      </c>
    </row>
    <row r="160" spans="1:7" ht="15" customHeight="1">
      <c r="A160" s="14"/>
      <c r="B160" s="14" t="s">
        <v>426</v>
      </c>
      <c r="C160" s="4">
        <f t="shared" si="2"/>
        <v>575</v>
      </c>
      <c r="D160" s="4">
        <v>0</v>
      </c>
      <c r="E160" s="4">
        <v>0</v>
      </c>
      <c r="F160" s="4">
        <v>0</v>
      </c>
      <c r="G160" s="4">
        <f>575</f>
        <v>575</v>
      </c>
    </row>
    <row r="161" spans="1:7" ht="15" customHeight="1">
      <c r="A161" s="14"/>
      <c r="B161" s="15" t="s">
        <v>361</v>
      </c>
      <c r="C161" s="4">
        <f t="shared" si="2"/>
        <v>575</v>
      </c>
      <c r="D161" s="4">
        <v>0</v>
      </c>
      <c r="E161" s="4">
        <v>575</v>
      </c>
      <c r="F161" s="4">
        <v>0</v>
      </c>
      <c r="G161" s="4">
        <v>0</v>
      </c>
    </row>
    <row r="162" spans="1:7" ht="15" customHeight="1">
      <c r="A162" s="14"/>
      <c r="B162" s="15" t="s">
        <v>251</v>
      </c>
      <c r="C162" s="4">
        <f t="shared" si="2"/>
        <v>575</v>
      </c>
      <c r="D162" s="4">
        <f>575</f>
        <v>575</v>
      </c>
      <c r="E162" s="4">
        <v>0</v>
      </c>
      <c r="F162" s="4">
        <v>0</v>
      </c>
      <c r="G162" s="4">
        <v>0</v>
      </c>
    </row>
    <row r="163" spans="1:7" ht="15" customHeight="1">
      <c r="A163" s="14"/>
      <c r="B163" s="15" t="s">
        <v>419</v>
      </c>
      <c r="C163" s="4">
        <f t="shared" si="2"/>
        <v>575</v>
      </c>
      <c r="D163" s="4">
        <v>0</v>
      </c>
      <c r="E163" s="4">
        <v>0</v>
      </c>
      <c r="F163" s="4">
        <v>0</v>
      </c>
      <c r="G163" s="4">
        <f>575</f>
        <v>575</v>
      </c>
    </row>
    <row r="164" spans="1:7" ht="15" customHeight="1">
      <c r="A164" s="14"/>
      <c r="B164" s="15" t="s">
        <v>287</v>
      </c>
      <c r="C164" s="4">
        <f t="shared" si="2"/>
        <v>575</v>
      </c>
      <c r="D164" s="4">
        <v>0</v>
      </c>
      <c r="E164" s="4">
        <f>375+200</f>
        <v>575</v>
      </c>
      <c r="F164" s="4">
        <v>0</v>
      </c>
      <c r="G164" s="4">
        <v>0</v>
      </c>
    </row>
    <row r="165" spans="1:7" ht="15" customHeight="1">
      <c r="A165" s="14"/>
      <c r="B165" s="15" t="s">
        <v>308</v>
      </c>
      <c r="C165" s="4">
        <f t="shared" si="2"/>
        <v>575</v>
      </c>
      <c r="D165" s="4">
        <v>0</v>
      </c>
      <c r="E165" s="4">
        <f>575</f>
        <v>575</v>
      </c>
      <c r="F165" s="4">
        <v>0</v>
      </c>
      <c r="G165" s="4">
        <v>0</v>
      </c>
    </row>
    <row r="166" spans="1:7" ht="15" customHeight="1">
      <c r="A166" s="14"/>
      <c r="B166" s="15" t="s">
        <v>423</v>
      </c>
      <c r="C166" s="4">
        <f t="shared" si="2"/>
        <v>575</v>
      </c>
      <c r="D166" s="4">
        <v>0</v>
      </c>
      <c r="E166" s="4">
        <v>0</v>
      </c>
      <c r="F166" s="4">
        <v>0</v>
      </c>
      <c r="G166" s="4">
        <f>575</f>
        <v>575</v>
      </c>
    </row>
    <row r="167" spans="1:7" ht="15" customHeight="1">
      <c r="A167" s="14"/>
      <c r="B167" s="15" t="s">
        <v>378</v>
      </c>
      <c r="C167" s="4">
        <f t="shared" si="2"/>
        <v>575</v>
      </c>
      <c r="D167" s="4">
        <v>0</v>
      </c>
      <c r="E167" s="4">
        <v>0</v>
      </c>
      <c r="F167" s="4">
        <f>575</f>
        <v>575</v>
      </c>
      <c r="G167" s="4">
        <v>0</v>
      </c>
    </row>
    <row r="168" spans="1:7" ht="15" customHeight="1">
      <c r="A168" s="14"/>
      <c r="B168" s="15" t="s">
        <v>412</v>
      </c>
      <c r="C168" s="4">
        <f t="shared" si="2"/>
        <v>550</v>
      </c>
      <c r="D168" s="4">
        <v>0</v>
      </c>
      <c r="E168" s="4">
        <v>0</v>
      </c>
      <c r="F168" s="4">
        <v>0</v>
      </c>
      <c r="G168" s="4">
        <f>250+300</f>
        <v>550</v>
      </c>
    </row>
    <row r="169" spans="1:7" ht="15" customHeight="1">
      <c r="A169" s="14"/>
      <c r="B169" s="15" t="s">
        <v>373</v>
      </c>
      <c r="C169" s="4">
        <f t="shared" si="2"/>
        <v>550</v>
      </c>
      <c r="D169" s="4">
        <v>0</v>
      </c>
      <c r="E169" s="4">
        <v>0</v>
      </c>
      <c r="F169" s="4">
        <f>225</f>
        <v>225</v>
      </c>
      <c r="G169" s="4">
        <f>325</f>
        <v>325</v>
      </c>
    </row>
    <row r="170" spans="1:7" ht="15" customHeight="1">
      <c r="A170" s="14"/>
      <c r="B170" s="15" t="s">
        <v>47</v>
      </c>
      <c r="C170" s="4">
        <f t="shared" si="2"/>
        <v>550</v>
      </c>
      <c r="D170" s="4">
        <v>0</v>
      </c>
      <c r="E170" s="4">
        <v>0</v>
      </c>
      <c r="F170" s="4">
        <f>375</f>
        <v>375</v>
      </c>
      <c r="G170" s="4">
        <f>175</f>
        <v>175</v>
      </c>
    </row>
    <row r="171" spans="1:7" ht="15" customHeight="1">
      <c r="A171" s="14"/>
      <c r="B171" s="15" t="s">
        <v>226</v>
      </c>
      <c r="C171" s="4">
        <f t="shared" si="2"/>
        <v>545</v>
      </c>
      <c r="D171" s="4">
        <f>225+175+145</f>
        <v>545</v>
      </c>
      <c r="E171" s="4">
        <v>0</v>
      </c>
      <c r="F171" s="4">
        <v>0</v>
      </c>
      <c r="G171" s="4">
        <v>0</v>
      </c>
    </row>
    <row r="172" spans="1:7" ht="15" customHeight="1">
      <c r="A172" s="14"/>
      <c r="B172" s="15" t="s">
        <v>107</v>
      </c>
      <c r="C172" s="4">
        <f t="shared" si="2"/>
        <v>525</v>
      </c>
      <c r="D172" s="4">
        <v>0</v>
      </c>
      <c r="E172" s="4">
        <v>0</v>
      </c>
      <c r="F172" s="4">
        <f>275</f>
        <v>275</v>
      </c>
      <c r="G172" s="4">
        <f>250</f>
        <v>250</v>
      </c>
    </row>
    <row r="173" spans="1:7" ht="15" customHeight="1">
      <c r="A173" s="14"/>
      <c r="B173" s="15" t="s">
        <v>320</v>
      </c>
      <c r="C173" s="4">
        <f t="shared" si="2"/>
        <v>525</v>
      </c>
      <c r="D173" s="4">
        <v>0</v>
      </c>
      <c r="E173" s="4">
        <f>275+250</f>
        <v>525</v>
      </c>
      <c r="F173" s="4">
        <v>0</v>
      </c>
      <c r="G173" s="4">
        <v>0</v>
      </c>
    </row>
    <row r="174" spans="1:7" ht="15" customHeight="1">
      <c r="A174" s="14"/>
      <c r="B174" s="15" t="s">
        <v>209</v>
      </c>
      <c r="C174" s="4">
        <f t="shared" si="2"/>
        <v>525</v>
      </c>
      <c r="D174" s="4">
        <f>130+145+250</f>
        <v>525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318</v>
      </c>
      <c r="C175" s="4">
        <f t="shared" si="2"/>
        <v>505</v>
      </c>
      <c r="D175" s="4">
        <f>375</f>
        <v>375</v>
      </c>
      <c r="E175" s="4">
        <f>130</f>
        <v>130</v>
      </c>
      <c r="F175" s="4">
        <v>0</v>
      </c>
      <c r="G175" s="4">
        <v>0</v>
      </c>
    </row>
    <row r="176" spans="1:7" ht="15" customHeight="1">
      <c r="A176" s="14"/>
      <c r="B176" s="15" t="s">
        <v>329</v>
      </c>
      <c r="C176" s="4">
        <f t="shared" si="2"/>
        <v>500</v>
      </c>
      <c r="D176" s="4">
        <v>0</v>
      </c>
      <c r="E176" s="4">
        <f>275</f>
        <v>275</v>
      </c>
      <c r="F176" s="4">
        <f>225</f>
        <v>225</v>
      </c>
      <c r="G176" s="4">
        <v>0</v>
      </c>
    </row>
    <row r="177" spans="1:7" ht="15" customHeight="1">
      <c r="A177" s="14"/>
      <c r="B177" s="15" t="s">
        <v>410</v>
      </c>
      <c r="C177" s="4">
        <f t="shared" si="2"/>
        <v>500</v>
      </c>
      <c r="D177" s="4">
        <v>0</v>
      </c>
      <c r="E177" s="4">
        <v>0</v>
      </c>
      <c r="F177" s="4">
        <v>0</v>
      </c>
      <c r="G177" s="4">
        <f>175+325</f>
        <v>500</v>
      </c>
    </row>
    <row r="178" spans="1:7" ht="15" customHeight="1">
      <c r="A178" s="14"/>
      <c r="B178" s="15" t="s">
        <v>400</v>
      </c>
      <c r="C178" s="4">
        <f t="shared" si="2"/>
        <v>500</v>
      </c>
      <c r="D178" s="4">
        <v>0</v>
      </c>
      <c r="E178" s="4">
        <v>0</v>
      </c>
      <c r="F178" s="4">
        <f>300</f>
        <v>300</v>
      </c>
      <c r="G178" s="4">
        <v>200</v>
      </c>
    </row>
    <row r="179" spans="1:7" ht="15" customHeight="1">
      <c r="A179" s="14"/>
      <c r="B179" s="15" t="s">
        <v>295</v>
      </c>
      <c r="C179" s="4">
        <f t="shared" si="2"/>
        <v>500</v>
      </c>
      <c r="D179" s="4">
        <v>0</v>
      </c>
      <c r="E179" s="4">
        <f>200</f>
        <v>200</v>
      </c>
      <c r="F179" s="4">
        <f>300</f>
        <v>300</v>
      </c>
      <c r="G179" s="4">
        <v>0</v>
      </c>
    </row>
    <row r="180" spans="1:7" ht="15" customHeight="1">
      <c r="A180" s="14"/>
      <c r="B180" s="15" t="s">
        <v>397</v>
      </c>
      <c r="C180" s="4">
        <f t="shared" si="2"/>
        <v>485</v>
      </c>
      <c r="D180" s="4">
        <v>0</v>
      </c>
      <c r="E180" s="4">
        <v>0</v>
      </c>
      <c r="F180" s="4">
        <f>115</f>
        <v>115</v>
      </c>
      <c r="G180" s="4">
        <f>225+145</f>
        <v>370</v>
      </c>
    </row>
    <row r="181" spans="1:7" ht="15" customHeight="1">
      <c r="A181" s="14"/>
      <c r="B181" s="15" t="s">
        <v>276</v>
      </c>
      <c r="C181" s="4">
        <f t="shared" si="2"/>
        <v>485</v>
      </c>
      <c r="D181" s="4">
        <f>115</f>
        <v>115</v>
      </c>
      <c r="E181" s="4">
        <f>225+145</f>
        <v>370</v>
      </c>
      <c r="F181" s="4">
        <v>0</v>
      </c>
      <c r="G181" s="4">
        <v>0</v>
      </c>
    </row>
    <row r="182" spans="1:7" ht="15" customHeight="1">
      <c r="A182" s="14"/>
      <c r="B182" s="15" t="s">
        <v>300</v>
      </c>
      <c r="C182" s="4">
        <f t="shared" si="2"/>
        <v>480</v>
      </c>
      <c r="D182" s="4">
        <v>0</v>
      </c>
      <c r="E182" s="4">
        <f>350+130</f>
        <v>480</v>
      </c>
      <c r="F182" s="4">
        <v>0</v>
      </c>
      <c r="G182" s="4">
        <v>0</v>
      </c>
    </row>
    <row r="183" spans="1:7" ht="15" customHeight="1">
      <c r="A183" s="14"/>
      <c r="B183" s="15" t="s">
        <v>407</v>
      </c>
      <c r="C183" s="4">
        <f t="shared" si="2"/>
        <v>475</v>
      </c>
      <c r="D183" s="4">
        <v>0</v>
      </c>
      <c r="E183" s="4">
        <v>0</v>
      </c>
      <c r="F183" s="4">
        <v>0</v>
      </c>
      <c r="G183" s="4">
        <f>225+250</f>
        <v>475</v>
      </c>
    </row>
    <row r="184" spans="1:7" ht="15" customHeight="1">
      <c r="A184" s="14"/>
      <c r="B184" s="15" t="s">
        <v>429</v>
      </c>
      <c r="C184" s="4">
        <f t="shared" si="2"/>
        <v>475</v>
      </c>
      <c r="D184" s="4">
        <v>0</v>
      </c>
      <c r="E184" s="4">
        <v>0</v>
      </c>
      <c r="F184" s="4">
        <v>0</v>
      </c>
      <c r="G184" s="4">
        <f>475</f>
        <v>475</v>
      </c>
    </row>
    <row r="185" spans="1:7" ht="15" customHeight="1">
      <c r="A185" s="14"/>
      <c r="B185" s="15" t="s">
        <v>441</v>
      </c>
      <c r="C185" s="4">
        <f t="shared" si="2"/>
        <v>475</v>
      </c>
      <c r="D185" s="4">
        <v>0</v>
      </c>
      <c r="E185" s="4">
        <v>0</v>
      </c>
      <c r="F185" s="4">
        <v>0</v>
      </c>
      <c r="G185" s="4">
        <v>475</v>
      </c>
    </row>
    <row r="186" spans="1:7" ht="15" customHeight="1">
      <c r="A186" s="14"/>
      <c r="B186" s="15" t="s">
        <v>248</v>
      </c>
      <c r="C186" s="4">
        <f t="shared" si="2"/>
        <v>475</v>
      </c>
      <c r="D186" s="4">
        <f>130+145</f>
        <v>275</v>
      </c>
      <c r="E186" s="4">
        <f>200</f>
        <v>200</v>
      </c>
      <c r="F186" s="4">
        <v>0</v>
      </c>
      <c r="G186" s="4">
        <v>0</v>
      </c>
    </row>
    <row r="187" spans="1:7" ht="15" customHeight="1">
      <c r="A187" s="14"/>
      <c r="B187" s="15" t="s">
        <v>433</v>
      </c>
      <c r="C187" s="4">
        <f t="shared" si="2"/>
        <v>475</v>
      </c>
      <c r="D187" s="4">
        <v>0</v>
      </c>
      <c r="E187" s="4">
        <v>0</v>
      </c>
      <c r="F187" s="4">
        <v>0</v>
      </c>
      <c r="G187" s="4">
        <f>475</f>
        <v>475</v>
      </c>
    </row>
    <row r="188" spans="1:7" ht="15" customHeight="1">
      <c r="A188" s="14"/>
      <c r="B188" s="15" t="s">
        <v>83</v>
      </c>
      <c r="C188" s="4">
        <f t="shared" si="2"/>
        <v>475</v>
      </c>
      <c r="D188" s="4">
        <v>0</v>
      </c>
      <c r="E188" s="4">
        <v>0</v>
      </c>
      <c r="F188" s="4">
        <v>0</v>
      </c>
      <c r="G188" s="4">
        <f>475</f>
        <v>475</v>
      </c>
    </row>
    <row r="189" spans="1:7" ht="15" customHeight="1">
      <c r="A189" s="14"/>
      <c r="B189" s="15" t="s">
        <v>396</v>
      </c>
      <c r="C189" s="4">
        <f t="shared" si="2"/>
        <v>465</v>
      </c>
      <c r="D189" s="4">
        <v>0</v>
      </c>
      <c r="E189" s="4">
        <v>0</v>
      </c>
      <c r="F189" s="4">
        <f>160</f>
        <v>160</v>
      </c>
      <c r="G189" s="4">
        <f>145+160</f>
        <v>305</v>
      </c>
    </row>
    <row r="190" spans="1:7" ht="15" customHeight="1">
      <c r="A190" s="14"/>
      <c r="B190" s="15" t="s">
        <v>255</v>
      </c>
      <c r="C190" s="4">
        <f t="shared" si="2"/>
        <v>460</v>
      </c>
      <c r="D190" s="4">
        <f>115+200</f>
        <v>315</v>
      </c>
      <c r="E190" s="4">
        <f>145</f>
        <v>145</v>
      </c>
      <c r="F190" s="4">
        <v>0</v>
      </c>
      <c r="G190" s="4">
        <v>0</v>
      </c>
    </row>
    <row r="191" spans="1:7" ht="15" customHeight="1">
      <c r="A191" s="14"/>
      <c r="B191" s="15" t="s">
        <v>265</v>
      </c>
      <c r="C191" s="4">
        <f t="shared" si="2"/>
        <v>435</v>
      </c>
      <c r="D191" s="4">
        <f>160</f>
        <v>160</v>
      </c>
      <c r="E191" s="4">
        <v>0</v>
      </c>
      <c r="F191" s="4">
        <f>275</f>
        <v>275</v>
      </c>
      <c r="G191" s="4">
        <v>0</v>
      </c>
    </row>
    <row r="192" spans="1:7" ht="15" customHeight="1">
      <c r="A192" s="14"/>
      <c r="B192" s="15" t="s">
        <v>399</v>
      </c>
      <c r="C192" s="4">
        <f t="shared" si="2"/>
        <v>425</v>
      </c>
      <c r="D192" s="4">
        <v>0</v>
      </c>
      <c r="E192" s="4">
        <v>0</v>
      </c>
      <c r="F192" s="4">
        <f>425</f>
        <v>425</v>
      </c>
      <c r="G192" s="4">
        <v>0</v>
      </c>
    </row>
    <row r="193" spans="1:7" ht="15" customHeight="1">
      <c r="A193" s="14"/>
      <c r="B193" s="15" t="s">
        <v>347</v>
      </c>
      <c r="C193" s="4">
        <f t="shared" si="2"/>
        <v>425</v>
      </c>
      <c r="D193" s="4">
        <v>0</v>
      </c>
      <c r="E193" s="4">
        <v>0</v>
      </c>
      <c r="F193" s="4">
        <f>425</f>
        <v>425</v>
      </c>
      <c r="G193" s="4">
        <v>0</v>
      </c>
    </row>
    <row r="194" spans="1:7" ht="15" customHeight="1">
      <c r="A194" s="14"/>
      <c r="B194" s="15" t="s">
        <v>420</v>
      </c>
      <c r="C194" s="4">
        <f t="shared" si="2"/>
        <v>425</v>
      </c>
      <c r="D194" s="4">
        <v>0</v>
      </c>
      <c r="E194" s="4">
        <v>0</v>
      </c>
      <c r="F194" s="4">
        <v>0</v>
      </c>
      <c r="G194" s="4">
        <f>425</f>
        <v>425</v>
      </c>
    </row>
    <row r="195" spans="1:7" ht="15" customHeight="1">
      <c r="A195" s="14"/>
      <c r="B195" s="15" t="s">
        <v>112</v>
      </c>
      <c r="C195" s="4">
        <f t="shared" si="2"/>
        <v>425</v>
      </c>
      <c r="D195" s="4">
        <v>0</v>
      </c>
      <c r="E195" s="4">
        <v>0</v>
      </c>
      <c r="F195" s="4">
        <v>0</v>
      </c>
      <c r="G195" s="4">
        <f>425</f>
        <v>425</v>
      </c>
    </row>
    <row r="196" spans="1:7" ht="15" customHeight="1">
      <c r="A196" s="14"/>
      <c r="B196" s="15" t="s">
        <v>208</v>
      </c>
      <c r="C196" s="4">
        <f t="shared" si="2"/>
        <v>425</v>
      </c>
      <c r="D196" s="4">
        <f>425</f>
        <v>425</v>
      </c>
      <c r="E196" s="4">
        <v>0</v>
      </c>
      <c r="F196" s="4">
        <v>0</v>
      </c>
      <c r="G196" s="4">
        <v>0</v>
      </c>
    </row>
    <row r="197" spans="1:7" ht="15" customHeight="1">
      <c r="A197" s="14"/>
      <c r="B197" s="15" t="s">
        <v>338</v>
      </c>
      <c r="C197" s="4">
        <f t="shared" si="2"/>
        <v>425</v>
      </c>
      <c r="D197" s="4">
        <v>0</v>
      </c>
      <c r="E197" s="4">
        <v>0</v>
      </c>
      <c r="F197" s="4">
        <f>425</f>
        <v>425</v>
      </c>
      <c r="G197" s="4">
        <v>0</v>
      </c>
    </row>
    <row r="198" spans="1:7" ht="15" customHeight="1">
      <c r="A198" s="14"/>
      <c r="B198" s="15" t="s">
        <v>352</v>
      </c>
      <c r="C198" s="4">
        <f t="shared" si="2"/>
        <v>425</v>
      </c>
      <c r="D198" s="4">
        <v>0</v>
      </c>
      <c r="E198" s="4">
        <v>0</v>
      </c>
      <c r="F198" s="4">
        <f>425</f>
        <v>425</v>
      </c>
      <c r="G198" s="4">
        <v>0</v>
      </c>
    </row>
    <row r="199" spans="1:7" ht="15" customHeight="1">
      <c r="A199" s="14"/>
      <c r="B199" s="15" t="s">
        <v>46</v>
      </c>
      <c r="C199" s="4">
        <f t="shared" si="2"/>
        <v>420</v>
      </c>
      <c r="D199" s="4">
        <v>0</v>
      </c>
      <c r="E199" s="4">
        <f>145+275</f>
        <v>420</v>
      </c>
      <c r="F199" s="4">
        <v>0</v>
      </c>
      <c r="G199" s="4">
        <v>0</v>
      </c>
    </row>
    <row r="200" spans="1:7" ht="15" customHeight="1">
      <c r="A200" s="14"/>
      <c r="B200" s="14" t="s">
        <v>413</v>
      </c>
      <c r="C200" s="4">
        <f t="shared" si="2"/>
        <v>375</v>
      </c>
      <c r="D200" s="4">
        <v>0</v>
      </c>
      <c r="E200" s="4">
        <v>0</v>
      </c>
      <c r="F200" s="4">
        <v>0</v>
      </c>
      <c r="G200" s="4">
        <f>375</f>
        <v>375</v>
      </c>
    </row>
    <row r="201" spans="1:7" ht="15" customHeight="1">
      <c r="A201" s="14"/>
      <c r="B201" s="15" t="s">
        <v>89</v>
      </c>
      <c r="C201" s="4">
        <f aca="true" t="shared" si="3" ref="C201:C264">D201+E201+F201+G201</f>
        <v>375</v>
      </c>
      <c r="D201" s="4">
        <f>115+115</f>
        <v>230</v>
      </c>
      <c r="E201" s="4">
        <v>0</v>
      </c>
      <c r="F201" s="4">
        <v>0</v>
      </c>
      <c r="G201" s="4">
        <f>145</f>
        <v>145</v>
      </c>
    </row>
    <row r="202" spans="1:7" ht="15" customHeight="1">
      <c r="A202" s="14"/>
      <c r="B202" s="15" t="s">
        <v>120</v>
      </c>
      <c r="C202" s="4">
        <f t="shared" si="3"/>
        <v>375</v>
      </c>
      <c r="D202" s="4">
        <v>0</v>
      </c>
      <c r="E202" s="4">
        <v>0</v>
      </c>
      <c r="F202" s="4">
        <v>0</v>
      </c>
      <c r="G202" s="4">
        <f>375</f>
        <v>375</v>
      </c>
    </row>
    <row r="203" spans="1:7" ht="15" customHeight="1">
      <c r="A203" s="14"/>
      <c r="B203" s="15" t="s">
        <v>256</v>
      </c>
      <c r="C203" s="4">
        <f t="shared" si="3"/>
        <v>375</v>
      </c>
      <c r="D203" s="4">
        <f>375</f>
        <v>375</v>
      </c>
      <c r="E203" s="4">
        <v>0</v>
      </c>
      <c r="F203" s="4">
        <v>0</v>
      </c>
      <c r="G203" s="4">
        <v>0</v>
      </c>
    </row>
    <row r="204" spans="1:7" ht="15" customHeight="1">
      <c r="A204" s="14"/>
      <c r="B204" s="15" t="s">
        <v>294</v>
      </c>
      <c r="C204" s="4">
        <f t="shared" si="3"/>
        <v>375</v>
      </c>
      <c r="D204" s="4">
        <v>0</v>
      </c>
      <c r="E204" s="4">
        <f>375</f>
        <v>375</v>
      </c>
      <c r="F204" s="4">
        <v>0</v>
      </c>
      <c r="G204" s="4">
        <v>0</v>
      </c>
    </row>
    <row r="205" spans="1:7" ht="15" customHeight="1">
      <c r="A205" s="14"/>
      <c r="B205" s="15" t="s">
        <v>395</v>
      </c>
      <c r="C205" s="4">
        <f t="shared" si="3"/>
        <v>360</v>
      </c>
      <c r="D205" s="4">
        <v>0</v>
      </c>
      <c r="E205" s="4">
        <v>0</v>
      </c>
      <c r="F205" s="4">
        <f>200</f>
        <v>200</v>
      </c>
      <c r="G205" s="4">
        <f>160</f>
        <v>160</v>
      </c>
    </row>
    <row r="206" spans="1:7" ht="15" customHeight="1">
      <c r="A206" s="14"/>
      <c r="B206" s="15" t="s">
        <v>117</v>
      </c>
      <c r="C206" s="4">
        <f t="shared" si="3"/>
        <v>350</v>
      </c>
      <c r="D206" s="4">
        <f>350</f>
        <v>350</v>
      </c>
      <c r="E206" s="4">
        <v>0</v>
      </c>
      <c r="F206" s="4">
        <v>0</v>
      </c>
      <c r="G206" s="4">
        <v>0</v>
      </c>
    </row>
    <row r="207" spans="1:7" ht="15" customHeight="1">
      <c r="A207" s="14"/>
      <c r="B207" s="15" t="s">
        <v>360</v>
      </c>
      <c r="C207" s="4">
        <f t="shared" si="3"/>
        <v>350</v>
      </c>
      <c r="D207" s="4">
        <v>0</v>
      </c>
      <c r="E207" s="4">
        <v>0</v>
      </c>
      <c r="F207" s="4">
        <f>350</f>
        <v>350</v>
      </c>
      <c r="G207" s="4">
        <v>0</v>
      </c>
    </row>
    <row r="208" spans="1:7" ht="15" customHeight="1">
      <c r="A208" s="14"/>
      <c r="B208" s="15" t="s">
        <v>442</v>
      </c>
      <c r="C208" s="4">
        <f t="shared" si="3"/>
        <v>350</v>
      </c>
      <c r="D208" s="4">
        <v>0</v>
      </c>
      <c r="E208" s="4">
        <v>0</v>
      </c>
      <c r="F208" s="4">
        <v>0</v>
      </c>
      <c r="G208" s="4">
        <v>350</v>
      </c>
    </row>
    <row r="209" spans="1:7" ht="15" customHeight="1">
      <c r="A209" s="14"/>
      <c r="B209" s="15" t="s">
        <v>416</v>
      </c>
      <c r="C209" s="4">
        <f t="shared" si="3"/>
        <v>350</v>
      </c>
      <c r="D209" s="4">
        <v>0</v>
      </c>
      <c r="E209" s="4">
        <v>0</v>
      </c>
      <c r="F209" s="4">
        <v>0</v>
      </c>
      <c r="G209" s="4">
        <f>350</f>
        <v>350</v>
      </c>
    </row>
    <row r="210" spans="1:7" ht="15" customHeight="1">
      <c r="A210" s="14"/>
      <c r="B210" s="15" t="s">
        <v>109</v>
      </c>
      <c r="C210" s="4">
        <f t="shared" si="3"/>
        <v>350</v>
      </c>
      <c r="D210" s="4">
        <v>0</v>
      </c>
      <c r="E210" s="4">
        <v>0</v>
      </c>
      <c r="F210" s="4">
        <v>0</v>
      </c>
      <c r="G210" s="4">
        <f>350</f>
        <v>350</v>
      </c>
    </row>
    <row r="211" spans="1:7" ht="15" customHeight="1">
      <c r="A211" s="14"/>
      <c r="B211" s="15" t="s">
        <v>381</v>
      </c>
      <c r="C211" s="4">
        <f t="shared" si="3"/>
        <v>350</v>
      </c>
      <c r="D211" s="4">
        <v>0</v>
      </c>
      <c r="E211" s="4">
        <v>0</v>
      </c>
      <c r="F211" s="4">
        <f>350</f>
        <v>350</v>
      </c>
      <c r="G211" s="4">
        <v>0</v>
      </c>
    </row>
    <row r="212" spans="1:7" ht="15" customHeight="1">
      <c r="A212" s="14"/>
      <c r="B212" s="15" t="s">
        <v>325</v>
      </c>
      <c r="C212" s="4">
        <f t="shared" si="3"/>
        <v>350</v>
      </c>
      <c r="D212" s="4">
        <v>0</v>
      </c>
      <c r="E212" s="4">
        <f>350</f>
        <v>350</v>
      </c>
      <c r="F212" s="4">
        <v>0</v>
      </c>
      <c r="G212" s="4">
        <v>0</v>
      </c>
    </row>
    <row r="213" spans="1:7" ht="15" customHeight="1">
      <c r="A213" s="14"/>
      <c r="B213" s="15" t="s">
        <v>298</v>
      </c>
      <c r="C213" s="4">
        <f t="shared" si="3"/>
        <v>350</v>
      </c>
      <c r="D213" s="4">
        <v>0</v>
      </c>
      <c r="E213" s="4">
        <f>350</f>
        <v>350</v>
      </c>
      <c r="F213" s="4">
        <v>0</v>
      </c>
      <c r="G213" s="4">
        <v>0</v>
      </c>
    </row>
    <row r="214" spans="1:7" ht="15" customHeight="1">
      <c r="A214" s="14"/>
      <c r="B214" s="15" t="s">
        <v>326</v>
      </c>
      <c r="C214" s="4">
        <f t="shared" si="3"/>
        <v>330</v>
      </c>
      <c r="D214" s="4">
        <v>0</v>
      </c>
      <c r="E214" s="4">
        <f>130</f>
        <v>130</v>
      </c>
      <c r="F214" s="4">
        <f>200</f>
        <v>200</v>
      </c>
      <c r="G214" s="4">
        <v>0</v>
      </c>
    </row>
    <row r="215" spans="1:7" ht="15" customHeight="1">
      <c r="A215" s="14"/>
      <c r="B215" s="15" t="s">
        <v>365</v>
      </c>
      <c r="C215" s="4">
        <f t="shared" si="3"/>
        <v>325</v>
      </c>
      <c r="D215" s="4">
        <v>0</v>
      </c>
      <c r="E215" s="4">
        <v>0</v>
      </c>
      <c r="F215" s="4">
        <f>325</f>
        <v>325</v>
      </c>
      <c r="G215" s="4">
        <v>0</v>
      </c>
    </row>
    <row r="216" spans="1:7" ht="15" customHeight="1">
      <c r="A216" s="14"/>
      <c r="B216" s="14" t="s">
        <v>369</v>
      </c>
      <c r="C216" s="4">
        <f t="shared" si="3"/>
        <v>325</v>
      </c>
      <c r="D216" s="4">
        <v>0</v>
      </c>
      <c r="E216" s="4">
        <v>0</v>
      </c>
      <c r="F216" s="4">
        <f>325</f>
        <v>325</v>
      </c>
      <c r="G216" s="4">
        <v>0</v>
      </c>
    </row>
    <row r="217" spans="1:7" ht="15" customHeight="1">
      <c r="A217" s="14"/>
      <c r="B217" s="15" t="s">
        <v>165</v>
      </c>
      <c r="C217" s="4">
        <f t="shared" si="3"/>
        <v>325</v>
      </c>
      <c r="D217" s="4">
        <v>0</v>
      </c>
      <c r="E217" s="4">
        <v>0</v>
      </c>
      <c r="F217" s="4">
        <v>0</v>
      </c>
      <c r="G217" s="4">
        <f>325</f>
        <v>325</v>
      </c>
    </row>
    <row r="218" spans="1:7" ht="15" customHeight="1">
      <c r="A218" s="14"/>
      <c r="B218" s="15" t="s">
        <v>290</v>
      </c>
      <c r="C218" s="4">
        <f t="shared" si="3"/>
        <v>325</v>
      </c>
      <c r="D218" s="4">
        <v>0</v>
      </c>
      <c r="E218" s="4">
        <f>325</f>
        <v>325</v>
      </c>
      <c r="F218" s="4">
        <v>0</v>
      </c>
      <c r="G218" s="4">
        <v>0</v>
      </c>
    </row>
    <row r="219" spans="1:7" ht="15" customHeight="1">
      <c r="A219" s="14"/>
      <c r="B219" s="15" t="s">
        <v>327</v>
      </c>
      <c r="C219" s="4">
        <f t="shared" si="3"/>
        <v>325</v>
      </c>
      <c r="D219" s="4">
        <v>0</v>
      </c>
      <c r="E219" s="4">
        <f>325</f>
        <v>325</v>
      </c>
      <c r="F219" s="4">
        <v>0</v>
      </c>
      <c r="G219" s="4">
        <v>0</v>
      </c>
    </row>
    <row r="220" spans="1:7" ht="15" customHeight="1">
      <c r="A220" s="14"/>
      <c r="B220" s="15" t="s">
        <v>421</v>
      </c>
      <c r="C220" s="4">
        <f t="shared" si="3"/>
        <v>325</v>
      </c>
      <c r="D220" s="4">
        <v>0</v>
      </c>
      <c r="E220" s="4">
        <v>0</v>
      </c>
      <c r="F220" s="4">
        <v>0</v>
      </c>
      <c r="G220" s="4">
        <f>325</f>
        <v>325</v>
      </c>
    </row>
    <row r="221" spans="1:7" ht="15" customHeight="1">
      <c r="A221" s="14"/>
      <c r="B221" s="15" t="s">
        <v>443</v>
      </c>
      <c r="C221" s="4">
        <f t="shared" si="3"/>
        <v>325</v>
      </c>
      <c r="D221" s="4">
        <v>0</v>
      </c>
      <c r="E221" s="4">
        <v>0</v>
      </c>
      <c r="F221" s="4">
        <v>0</v>
      </c>
      <c r="G221" s="4">
        <v>325</v>
      </c>
    </row>
    <row r="222" spans="1:7" ht="15" customHeight="1">
      <c r="A222" s="14"/>
      <c r="B222" s="15" t="s">
        <v>92</v>
      </c>
      <c r="C222" s="4">
        <f t="shared" si="3"/>
        <v>325</v>
      </c>
      <c r="D222" s="4">
        <v>0</v>
      </c>
      <c r="E222" s="4">
        <v>0</v>
      </c>
      <c r="F222" s="4">
        <v>0</v>
      </c>
      <c r="G222" s="4">
        <v>325</v>
      </c>
    </row>
    <row r="223" spans="1:7" ht="15" customHeight="1">
      <c r="A223" s="14"/>
      <c r="B223" s="15" t="s">
        <v>386</v>
      </c>
      <c r="C223" s="4">
        <f t="shared" si="3"/>
        <v>325</v>
      </c>
      <c r="D223" s="4">
        <v>0</v>
      </c>
      <c r="E223" s="4">
        <v>0</v>
      </c>
      <c r="F223" s="4">
        <f>325</f>
        <v>325</v>
      </c>
      <c r="G223" s="4">
        <v>0</v>
      </c>
    </row>
    <row r="224" spans="1:7" ht="15" customHeight="1">
      <c r="A224" s="14"/>
      <c r="B224" s="15" t="s">
        <v>339</v>
      </c>
      <c r="C224" s="4">
        <f t="shared" si="3"/>
        <v>325</v>
      </c>
      <c r="D224" s="4">
        <v>0</v>
      </c>
      <c r="E224" s="4">
        <v>0</v>
      </c>
      <c r="F224" s="4">
        <f>325</f>
        <v>325</v>
      </c>
      <c r="G224" s="4">
        <v>0</v>
      </c>
    </row>
    <row r="225" spans="1:7" ht="15" customHeight="1">
      <c r="A225" s="14"/>
      <c r="B225" s="15" t="s">
        <v>228</v>
      </c>
      <c r="C225" s="4">
        <f t="shared" si="3"/>
        <v>325</v>
      </c>
      <c r="D225" s="4">
        <f>325</f>
        <v>325</v>
      </c>
      <c r="E225" s="4">
        <v>0</v>
      </c>
      <c r="F225" s="4">
        <v>0</v>
      </c>
      <c r="G225" s="4">
        <v>0</v>
      </c>
    </row>
    <row r="226" spans="1:7" ht="15" customHeight="1">
      <c r="A226" s="14"/>
      <c r="B226" s="15" t="s">
        <v>401</v>
      </c>
      <c r="C226" s="4">
        <f t="shared" si="3"/>
        <v>320</v>
      </c>
      <c r="D226" s="4">
        <v>0</v>
      </c>
      <c r="E226" s="4">
        <v>0</v>
      </c>
      <c r="F226" s="4">
        <f>175</f>
        <v>175</v>
      </c>
      <c r="G226" s="4">
        <f>145</f>
        <v>145</v>
      </c>
    </row>
    <row r="227" spans="1:7" ht="15" customHeight="1">
      <c r="A227" s="14"/>
      <c r="B227" s="15" t="s">
        <v>417</v>
      </c>
      <c r="C227" s="4">
        <f t="shared" si="3"/>
        <v>320</v>
      </c>
      <c r="D227" s="4">
        <v>0</v>
      </c>
      <c r="E227" s="4">
        <v>0</v>
      </c>
      <c r="F227" s="4">
        <v>0</v>
      </c>
      <c r="G227" s="4">
        <f>175+145</f>
        <v>320</v>
      </c>
    </row>
    <row r="228" spans="1:7" ht="15" customHeight="1">
      <c r="A228" s="14"/>
      <c r="B228" s="15" t="s">
        <v>351</v>
      </c>
      <c r="C228" s="4">
        <f t="shared" si="3"/>
        <v>320</v>
      </c>
      <c r="D228" s="4">
        <v>0</v>
      </c>
      <c r="E228" s="4">
        <v>175</v>
      </c>
      <c r="F228" s="4">
        <f>145</f>
        <v>145</v>
      </c>
      <c r="G228" s="4">
        <v>0</v>
      </c>
    </row>
    <row r="229" spans="1:7" ht="15" customHeight="1">
      <c r="A229" s="14"/>
      <c r="B229" s="15" t="s">
        <v>328</v>
      </c>
      <c r="C229" s="4">
        <f t="shared" si="3"/>
        <v>300</v>
      </c>
      <c r="D229" s="4">
        <v>0</v>
      </c>
      <c r="E229" s="4">
        <f>300</f>
        <v>300</v>
      </c>
      <c r="F229" s="4">
        <v>0</v>
      </c>
      <c r="G229" s="4">
        <v>0</v>
      </c>
    </row>
    <row r="230" spans="1:7" ht="15" customHeight="1">
      <c r="A230" s="14"/>
      <c r="B230" s="15" t="s">
        <v>384</v>
      </c>
      <c r="C230" s="4">
        <f t="shared" si="3"/>
        <v>300</v>
      </c>
      <c r="D230" s="4">
        <v>0</v>
      </c>
      <c r="E230" s="4">
        <v>0</v>
      </c>
      <c r="F230" s="4">
        <f>300</f>
        <v>300</v>
      </c>
      <c r="G230" s="4">
        <v>0</v>
      </c>
    </row>
    <row r="231" spans="1:7" ht="15" customHeight="1">
      <c r="A231" s="14"/>
      <c r="B231" s="15" t="s">
        <v>444</v>
      </c>
      <c r="C231" s="4">
        <f t="shared" si="3"/>
        <v>300</v>
      </c>
      <c r="D231" s="4">
        <v>0</v>
      </c>
      <c r="E231" s="4">
        <v>0</v>
      </c>
      <c r="F231" s="4">
        <v>0</v>
      </c>
      <c r="G231" s="4">
        <v>300</v>
      </c>
    </row>
    <row r="232" spans="1:7" ht="15" customHeight="1">
      <c r="A232" s="14"/>
      <c r="B232" s="15" t="s">
        <v>366</v>
      </c>
      <c r="C232" s="4">
        <f t="shared" si="3"/>
        <v>300</v>
      </c>
      <c r="D232" s="4">
        <v>0</v>
      </c>
      <c r="E232" s="4">
        <v>0</v>
      </c>
      <c r="F232" s="4">
        <f>300</f>
        <v>300</v>
      </c>
      <c r="G232" s="4">
        <v>0</v>
      </c>
    </row>
    <row r="233" spans="1:7" ht="15" customHeight="1">
      <c r="A233" s="14"/>
      <c r="B233" s="15" t="s">
        <v>422</v>
      </c>
      <c r="C233" s="4">
        <f t="shared" si="3"/>
        <v>300</v>
      </c>
      <c r="D233" s="4">
        <v>0</v>
      </c>
      <c r="E233" s="4">
        <v>0</v>
      </c>
      <c r="F233" s="4">
        <v>0</v>
      </c>
      <c r="G233" s="4">
        <f>300</f>
        <v>300</v>
      </c>
    </row>
    <row r="234" spans="1:7" ht="15" customHeight="1">
      <c r="A234" s="14"/>
      <c r="B234" s="15" t="s">
        <v>293</v>
      </c>
      <c r="C234" s="4">
        <f t="shared" si="3"/>
        <v>300</v>
      </c>
      <c r="D234" s="4">
        <v>0</v>
      </c>
      <c r="E234" s="4">
        <f>300</f>
        <v>300</v>
      </c>
      <c r="F234" s="4">
        <v>0</v>
      </c>
      <c r="G234" s="4">
        <v>0</v>
      </c>
    </row>
    <row r="235" spans="1:7" ht="15" customHeight="1">
      <c r="A235" s="14"/>
      <c r="B235" s="15" t="s">
        <v>43</v>
      </c>
      <c r="C235" s="4">
        <f t="shared" si="3"/>
        <v>290</v>
      </c>
      <c r="D235" s="4">
        <v>0</v>
      </c>
      <c r="E235" s="4">
        <v>0</v>
      </c>
      <c r="F235" s="4">
        <f>130</f>
        <v>130</v>
      </c>
      <c r="G235" s="4">
        <f>160</f>
        <v>160</v>
      </c>
    </row>
    <row r="236" spans="1:7" ht="15" customHeight="1">
      <c r="A236" s="14"/>
      <c r="B236" s="15" t="s">
        <v>250</v>
      </c>
      <c r="C236" s="4">
        <f t="shared" si="3"/>
        <v>275</v>
      </c>
      <c r="D236" s="4">
        <f>275</f>
        <v>275</v>
      </c>
      <c r="E236" s="4">
        <v>0</v>
      </c>
      <c r="F236" s="4">
        <v>0</v>
      </c>
      <c r="G236" s="4">
        <v>0</v>
      </c>
    </row>
    <row r="237" spans="1:7" ht="15" customHeight="1">
      <c r="A237" s="14"/>
      <c r="B237" s="15" t="s">
        <v>254</v>
      </c>
      <c r="C237" s="4">
        <f t="shared" si="3"/>
        <v>275</v>
      </c>
      <c r="D237" s="4">
        <f>145+130</f>
        <v>275</v>
      </c>
      <c r="E237" s="4">
        <v>0</v>
      </c>
      <c r="F237" s="4">
        <v>0</v>
      </c>
      <c r="G237" s="4">
        <v>0</v>
      </c>
    </row>
    <row r="238" spans="1:7" ht="15" customHeight="1">
      <c r="A238" s="14"/>
      <c r="B238" s="15" t="s">
        <v>359</v>
      </c>
      <c r="C238" s="4">
        <f t="shared" si="3"/>
        <v>275</v>
      </c>
      <c r="D238" s="4">
        <v>0</v>
      </c>
      <c r="E238" s="4">
        <v>275</v>
      </c>
      <c r="F238" s="4">
        <v>0</v>
      </c>
      <c r="G238" s="4">
        <v>0</v>
      </c>
    </row>
    <row r="239" spans="1:7" ht="15" customHeight="1">
      <c r="A239" s="14"/>
      <c r="B239" s="15" t="s">
        <v>337</v>
      </c>
      <c r="C239" s="4">
        <f t="shared" si="3"/>
        <v>275</v>
      </c>
      <c r="D239" s="4">
        <v>0</v>
      </c>
      <c r="E239" s="4">
        <v>0</v>
      </c>
      <c r="F239" s="4">
        <f>275</f>
        <v>275</v>
      </c>
      <c r="G239" s="4">
        <v>0</v>
      </c>
    </row>
    <row r="240" spans="1:7" ht="15" customHeight="1">
      <c r="A240" s="14"/>
      <c r="B240" s="15" t="s">
        <v>367</v>
      </c>
      <c r="C240" s="4">
        <f t="shared" si="3"/>
        <v>275</v>
      </c>
      <c r="D240" s="4">
        <v>0</v>
      </c>
      <c r="E240" s="4">
        <v>0</v>
      </c>
      <c r="F240" s="4">
        <f>275</f>
        <v>275</v>
      </c>
      <c r="G240" s="4">
        <v>0</v>
      </c>
    </row>
    <row r="241" spans="1:7" ht="15" customHeight="1">
      <c r="A241" s="14"/>
      <c r="B241" s="15" t="s">
        <v>212</v>
      </c>
      <c r="C241" s="4">
        <f t="shared" si="3"/>
        <v>250</v>
      </c>
      <c r="D241" s="4">
        <f>250</f>
        <v>250</v>
      </c>
      <c r="E241" s="4">
        <v>0</v>
      </c>
      <c r="F241" s="4">
        <v>0</v>
      </c>
      <c r="G241" s="4">
        <v>0</v>
      </c>
    </row>
    <row r="242" spans="1:7" ht="15" customHeight="1">
      <c r="A242" s="14"/>
      <c r="B242" s="15" t="s">
        <v>330</v>
      </c>
      <c r="C242" s="4">
        <f t="shared" si="3"/>
        <v>250</v>
      </c>
      <c r="D242" s="4">
        <v>0</v>
      </c>
      <c r="E242" s="4">
        <f>250</f>
        <v>250</v>
      </c>
      <c r="F242" s="4">
        <v>0</v>
      </c>
      <c r="G242" s="4">
        <v>0</v>
      </c>
    </row>
    <row r="243" spans="1:7" ht="15" customHeight="1">
      <c r="A243" s="14"/>
      <c r="B243" s="15" t="s">
        <v>302</v>
      </c>
      <c r="C243" s="4">
        <f t="shared" si="3"/>
        <v>250</v>
      </c>
      <c r="D243" s="4">
        <v>0</v>
      </c>
      <c r="E243" s="4">
        <f>250</f>
        <v>250</v>
      </c>
      <c r="F243" s="4">
        <v>0</v>
      </c>
      <c r="G243" s="4">
        <v>0</v>
      </c>
    </row>
    <row r="244" spans="1:7" ht="15" customHeight="1">
      <c r="A244" s="14"/>
      <c r="B244" s="15" t="s">
        <v>243</v>
      </c>
      <c r="C244" s="4">
        <f t="shared" si="3"/>
        <v>250</v>
      </c>
      <c r="D244" s="4">
        <f>250</f>
        <v>250</v>
      </c>
      <c r="E244" s="4">
        <v>0</v>
      </c>
      <c r="F244" s="4">
        <v>0</v>
      </c>
      <c r="G244" s="4">
        <v>0</v>
      </c>
    </row>
    <row r="245" spans="1:7" ht="15" customHeight="1">
      <c r="A245" s="14"/>
      <c r="B245" s="15" t="s">
        <v>315</v>
      </c>
      <c r="C245" s="4">
        <f t="shared" si="3"/>
        <v>250</v>
      </c>
      <c r="D245" s="4">
        <v>0</v>
      </c>
      <c r="E245" s="4">
        <f>250</f>
        <v>250</v>
      </c>
      <c r="F245" s="4">
        <v>0</v>
      </c>
      <c r="G245" s="4">
        <v>0</v>
      </c>
    </row>
    <row r="246" spans="1:7" ht="15" customHeight="1">
      <c r="A246" s="14"/>
      <c r="B246" s="15" t="s">
        <v>299</v>
      </c>
      <c r="C246" s="4">
        <f t="shared" si="3"/>
        <v>250</v>
      </c>
      <c r="D246" s="4">
        <v>0</v>
      </c>
      <c r="E246" s="4">
        <f>250</f>
        <v>250</v>
      </c>
      <c r="F246" s="4">
        <v>0</v>
      </c>
      <c r="G246" s="4">
        <v>0</v>
      </c>
    </row>
    <row r="247" spans="1:7" ht="15" customHeight="1">
      <c r="A247" s="14"/>
      <c r="B247" s="15" t="s">
        <v>434</v>
      </c>
      <c r="C247" s="4">
        <f t="shared" si="3"/>
        <v>250</v>
      </c>
      <c r="D247" s="4">
        <v>0</v>
      </c>
      <c r="E247" s="4">
        <v>0</v>
      </c>
      <c r="F247" s="4">
        <v>0</v>
      </c>
      <c r="G247" s="4">
        <f>250</f>
        <v>250</v>
      </c>
    </row>
    <row r="248" spans="1:7" ht="15" customHeight="1">
      <c r="A248" s="14"/>
      <c r="B248" s="15" t="s">
        <v>255</v>
      </c>
      <c r="C248" s="4">
        <f t="shared" si="3"/>
        <v>250</v>
      </c>
      <c r="D248" s="4">
        <v>0</v>
      </c>
      <c r="E248" s="4">
        <v>0</v>
      </c>
      <c r="F248" s="4">
        <v>0</v>
      </c>
      <c r="G248" s="4">
        <f>250</f>
        <v>250</v>
      </c>
    </row>
    <row r="249" spans="1:7" ht="15" customHeight="1">
      <c r="A249" s="14"/>
      <c r="B249" s="15" t="s">
        <v>263</v>
      </c>
      <c r="C249" s="4">
        <f t="shared" si="3"/>
        <v>250</v>
      </c>
      <c r="D249" s="4">
        <f>250</f>
        <v>250</v>
      </c>
      <c r="E249" s="4">
        <v>0</v>
      </c>
      <c r="F249" s="4">
        <v>0</v>
      </c>
      <c r="G249" s="4">
        <v>0</v>
      </c>
    </row>
    <row r="250" spans="1:7" ht="15" customHeight="1">
      <c r="A250" s="14"/>
      <c r="B250" s="15" t="s">
        <v>291</v>
      </c>
      <c r="C250" s="4">
        <f t="shared" si="3"/>
        <v>250</v>
      </c>
      <c r="D250" s="4">
        <v>0</v>
      </c>
      <c r="E250" s="4">
        <f>250</f>
        <v>250</v>
      </c>
      <c r="F250" s="4">
        <v>0</v>
      </c>
      <c r="G250" s="4">
        <v>0</v>
      </c>
    </row>
    <row r="251" spans="1:7" ht="15" customHeight="1">
      <c r="A251" s="14"/>
      <c r="B251" s="15" t="s">
        <v>253</v>
      </c>
      <c r="C251" s="4">
        <f t="shared" si="3"/>
        <v>250</v>
      </c>
      <c r="D251" s="4">
        <f>250</f>
        <v>250</v>
      </c>
      <c r="E251" s="4">
        <v>0</v>
      </c>
      <c r="F251" s="4">
        <v>0</v>
      </c>
      <c r="G251" s="4">
        <v>0</v>
      </c>
    </row>
    <row r="252" spans="1:7" ht="15" customHeight="1">
      <c r="A252" s="14"/>
      <c r="B252" s="15" t="s">
        <v>406</v>
      </c>
      <c r="C252" s="4">
        <f t="shared" si="3"/>
        <v>250</v>
      </c>
      <c r="D252" s="4">
        <v>0</v>
      </c>
      <c r="E252" s="4">
        <v>0</v>
      </c>
      <c r="F252" s="4">
        <v>0</v>
      </c>
      <c r="G252" s="4">
        <f>250</f>
        <v>250</v>
      </c>
    </row>
    <row r="253" spans="1:7" ht="15" customHeight="1">
      <c r="A253" s="14"/>
      <c r="B253" s="15" t="s">
        <v>372</v>
      </c>
      <c r="C253" s="4">
        <f t="shared" si="3"/>
        <v>225</v>
      </c>
      <c r="D253" s="4">
        <v>0</v>
      </c>
      <c r="E253" s="4">
        <v>0</v>
      </c>
      <c r="F253" s="4">
        <f>225</f>
        <v>225</v>
      </c>
      <c r="G253" s="4">
        <v>0</v>
      </c>
    </row>
    <row r="254" spans="1:7" ht="15" customHeight="1">
      <c r="A254" s="14"/>
      <c r="B254" s="14" t="s">
        <v>370</v>
      </c>
      <c r="C254" s="4">
        <f t="shared" si="3"/>
        <v>225</v>
      </c>
      <c r="D254" s="4">
        <v>0</v>
      </c>
      <c r="E254" s="4">
        <v>0</v>
      </c>
      <c r="F254" s="4">
        <f>225</f>
        <v>225</v>
      </c>
      <c r="G254" s="4">
        <v>0</v>
      </c>
    </row>
    <row r="255" spans="1:7" ht="15" customHeight="1">
      <c r="A255" s="14"/>
      <c r="B255" s="14" t="s">
        <v>303</v>
      </c>
      <c r="C255" s="4">
        <f t="shared" si="3"/>
        <v>225</v>
      </c>
      <c r="D255" s="4">
        <v>0</v>
      </c>
      <c r="E255" s="4">
        <f>225</f>
        <v>225</v>
      </c>
      <c r="F255" s="4">
        <v>0</v>
      </c>
      <c r="G255" s="4">
        <v>0</v>
      </c>
    </row>
    <row r="256" spans="1:7" ht="15" customHeight="1">
      <c r="A256" s="14"/>
      <c r="B256" s="15" t="s">
        <v>170</v>
      </c>
      <c r="C256" s="4">
        <f t="shared" si="3"/>
        <v>225</v>
      </c>
      <c r="D256" s="4">
        <v>0</v>
      </c>
      <c r="E256" s="4">
        <v>0</v>
      </c>
      <c r="F256" s="4">
        <v>0</v>
      </c>
      <c r="G256" s="4">
        <f>225</f>
        <v>225</v>
      </c>
    </row>
    <row r="257" spans="1:7" ht="15" customHeight="1">
      <c r="A257" s="14"/>
      <c r="B257" s="15" t="s">
        <v>316</v>
      </c>
      <c r="C257" s="4">
        <f t="shared" si="3"/>
        <v>225</v>
      </c>
      <c r="D257" s="4">
        <v>0</v>
      </c>
      <c r="E257" s="4">
        <f>225</f>
        <v>225</v>
      </c>
      <c r="F257" s="4">
        <v>0</v>
      </c>
      <c r="G257" s="4">
        <v>0</v>
      </c>
    </row>
    <row r="258" spans="1:7" ht="15" customHeight="1">
      <c r="A258" s="14"/>
      <c r="B258" s="15" t="s">
        <v>264</v>
      </c>
      <c r="C258" s="4">
        <f t="shared" si="3"/>
        <v>225</v>
      </c>
      <c r="D258" s="4">
        <f>225</f>
        <v>225</v>
      </c>
      <c r="E258" s="4">
        <v>0</v>
      </c>
      <c r="F258" s="4">
        <v>0</v>
      </c>
      <c r="G258" s="4">
        <v>0</v>
      </c>
    </row>
    <row r="259" spans="1:7" ht="15" customHeight="1">
      <c r="A259" s="14"/>
      <c r="B259" s="15" t="s">
        <v>305</v>
      </c>
      <c r="C259" s="4">
        <f t="shared" si="3"/>
        <v>225</v>
      </c>
      <c r="D259" s="4">
        <v>0</v>
      </c>
      <c r="E259" s="4">
        <f>225</f>
        <v>225</v>
      </c>
      <c r="F259" s="4">
        <v>0</v>
      </c>
      <c r="G259" s="4">
        <v>0</v>
      </c>
    </row>
    <row r="260" spans="1:7" ht="15" customHeight="1">
      <c r="A260" s="14"/>
      <c r="B260" s="15" t="s">
        <v>414</v>
      </c>
      <c r="C260" s="4">
        <f t="shared" si="3"/>
        <v>225</v>
      </c>
      <c r="D260" s="4">
        <v>0</v>
      </c>
      <c r="E260" s="4">
        <v>0</v>
      </c>
      <c r="F260" s="4">
        <v>0</v>
      </c>
      <c r="G260" s="4">
        <f>225</f>
        <v>225</v>
      </c>
    </row>
    <row r="261" spans="1:7" ht="15" customHeight="1">
      <c r="A261" s="14"/>
      <c r="B261" s="15" t="s">
        <v>283</v>
      </c>
      <c r="C261" s="4">
        <f t="shared" si="3"/>
        <v>200</v>
      </c>
      <c r="D261" s="4">
        <v>0</v>
      </c>
      <c r="E261" s="4">
        <f>200</f>
        <v>200</v>
      </c>
      <c r="F261" s="4">
        <v>0</v>
      </c>
      <c r="G261" s="4">
        <v>0</v>
      </c>
    </row>
    <row r="262" spans="1:7" ht="15" customHeight="1">
      <c r="A262" s="14"/>
      <c r="B262" s="15" t="s">
        <v>244</v>
      </c>
      <c r="C262" s="4">
        <f t="shared" si="3"/>
        <v>200</v>
      </c>
      <c r="D262" s="4">
        <f>200</f>
        <v>200</v>
      </c>
      <c r="E262" s="4">
        <v>0</v>
      </c>
      <c r="F262" s="4">
        <v>0</v>
      </c>
      <c r="G262" s="4">
        <v>0</v>
      </c>
    </row>
    <row r="263" spans="1:7" ht="15" customHeight="1">
      <c r="A263" s="14"/>
      <c r="B263" s="15" t="s">
        <v>333</v>
      </c>
      <c r="C263" s="4">
        <f t="shared" si="3"/>
        <v>200</v>
      </c>
      <c r="D263" s="4">
        <v>0</v>
      </c>
      <c r="E263" s="4">
        <f>200</f>
        <v>200</v>
      </c>
      <c r="F263" s="4">
        <v>0</v>
      </c>
      <c r="G263" s="4">
        <v>0</v>
      </c>
    </row>
    <row r="264" spans="1:7" ht="15" customHeight="1">
      <c r="A264" s="14"/>
      <c r="B264" s="15" t="s">
        <v>65</v>
      </c>
      <c r="C264" s="4">
        <f t="shared" si="3"/>
        <v>200</v>
      </c>
      <c r="D264" s="4">
        <f>200</f>
        <v>200</v>
      </c>
      <c r="E264" s="4">
        <v>0</v>
      </c>
      <c r="F264" s="4">
        <v>0</v>
      </c>
      <c r="G264" s="4">
        <v>0</v>
      </c>
    </row>
    <row r="265" spans="1:7" ht="15" customHeight="1">
      <c r="A265" s="14"/>
      <c r="B265" s="15" t="s">
        <v>371</v>
      </c>
      <c r="C265" s="4">
        <f aca="true" t="shared" si="4" ref="C265:C292">D265+E265+F265+G265</f>
        <v>200</v>
      </c>
      <c r="D265" s="4">
        <v>0</v>
      </c>
      <c r="E265" s="4">
        <v>0</v>
      </c>
      <c r="F265" s="4">
        <f>200</f>
        <v>200</v>
      </c>
      <c r="G265" s="4">
        <v>0</v>
      </c>
    </row>
    <row r="266" spans="1:7" ht="15" customHeight="1">
      <c r="A266" s="14"/>
      <c r="B266" s="15" t="s">
        <v>341</v>
      </c>
      <c r="C266" s="4">
        <f t="shared" si="4"/>
        <v>200</v>
      </c>
      <c r="D266" s="4">
        <v>0</v>
      </c>
      <c r="E266" s="4">
        <v>0</v>
      </c>
      <c r="F266" s="4">
        <f>200</f>
        <v>200</v>
      </c>
      <c r="G266" s="4">
        <v>0</v>
      </c>
    </row>
    <row r="267" spans="1:7" ht="15" customHeight="1">
      <c r="A267" s="14"/>
      <c r="B267" s="15" t="s">
        <v>427</v>
      </c>
      <c r="C267" s="4">
        <f t="shared" si="4"/>
        <v>200</v>
      </c>
      <c r="D267" s="4">
        <v>0</v>
      </c>
      <c r="E267" s="4">
        <v>0</v>
      </c>
      <c r="F267" s="4">
        <v>0</v>
      </c>
      <c r="G267" s="4">
        <f>200</f>
        <v>200</v>
      </c>
    </row>
    <row r="268" spans="1:7" ht="15" customHeight="1">
      <c r="A268" s="14"/>
      <c r="B268" s="15" t="s">
        <v>374</v>
      </c>
      <c r="C268" s="4">
        <f t="shared" si="4"/>
        <v>200</v>
      </c>
      <c r="D268" s="4">
        <v>0</v>
      </c>
      <c r="E268" s="4">
        <v>0</v>
      </c>
      <c r="F268" s="4">
        <f>200</f>
        <v>200</v>
      </c>
      <c r="G268" s="4">
        <v>0</v>
      </c>
    </row>
    <row r="269" spans="1:7" ht="15" customHeight="1">
      <c r="A269" s="14"/>
      <c r="B269" s="15" t="s">
        <v>331</v>
      </c>
      <c r="C269" s="4">
        <f t="shared" si="4"/>
        <v>200</v>
      </c>
      <c r="D269" s="4">
        <v>0</v>
      </c>
      <c r="E269" s="4">
        <f>200</f>
        <v>200</v>
      </c>
      <c r="F269" s="4">
        <v>0</v>
      </c>
      <c r="G269" s="4">
        <v>0</v>
      </c>
    </row>
    <row r="270" spans="1:7" ht="15" customHeight="1">
      <c r="A270" s="14"/>
      <c r="B270" s="15" t="s">
        <v>424</v>
      </c>
      <c r="C270" s="4">
        <f t="shared" si="4"/>
        <v>200</v>
      </c>
      <c r="D270" s="4">
        <v>0</v>
      </c>
      <c r="E270" s="4">
        <v>0</v>
      </c>
      <c r="F270" s="4">
        <v>0</v>
      </c>
      <c r="G270" s="4">
        <f>200</f>
        <v>200</v>
      </c>
    </row>
    <row r="271" spans="1:7" ht="15" customHeight="1">
      <c r="A271" s="14"/>
      <c r="B271" s="15" t="s">
        <v>340</v>
      </c>
      <c r="C271" s="4">
        <f t="shared" si="4"/>
        <v>200</v>
      </c>
      <c r="D271" s="4">
        <v>0</v>
      </c>
      <c r="E271" s="4">
        <v>0</v>
      </c>
      <c r="F271" s="4">
        <f>200</f>
        <v>200</v>
      </c>
      <c r="G271" s="4">
        <v>0</v>
      </c>
    </row>
    <row r="272" spans="1:7" ht="15" customHeight="1">
      <c r="A272" s="14"/>
      <c r="B272" s="15" t="s">
        <v>409</v>
      </c>
      <c r="C272" s="4">
        <f t="shared" si="4"/>
        <v>200</v>
      </c>
      <c r="D272" s="4">
        <v>0</v>
      </c>
      <c r="E272" s="4">
        <v>0</v>
      </c>
      <c r="F272" s="4">
        <v>0</v>
      </c>
      <c r="G272" s="4">
        <f>200</f>
        <v>200</v>
      </c>
    </row>
    <row r="273" spans="1:7" ht="15" customHeight="1">
      <c r="A273" s="14"/>
      <c r="B273" s="15" t="s">
        <v>349</v>
      </c>
      <c r="C273" s="4">
        <f t="shared" si="4"/>
        <v>200</v>
      </c>
      <c r="D273" s="4">
        <v>0</v>
      </c>
      <c r="E273" s="4">
        <v>0</v>
      </c>
      <c r="F273" s="4">
        <f>200</f>
        <v>200</v>
      </c>
      <c r="G273" s="4">
        <v>0</v>
      </c>
    </row>
    <row r="274" spans="1:7" ht="15" customHeight="1">
      <c r="A274" s="14"/>
      <c r="B274" s="15" t="s">
        <v>355</v>
      </c>
      <c r="C274" s="4">
        <f t="shared" si="4"/>
        <v>175</v>
      </c>
      <c r="D274" s="4">
        <v>0</v>
      </c>
      <c r="E274" s="4">
        <v>0</v>
      </c>
      <c r="F274" s="4">
        <f>175</f>
        <v>175</v>
      </c>
      <c r="G274" s="4">
        <v>0</v>
      </c>
    </row>
    <row r="275" spans="1:7" ht="15" customHeight="1">
      <c r="A275" s="14"/>
      <c r="B275" s="14" t="s">
        <v>310</v>
      </c>
      <c r="C275" s="4">
        <f t="shared" si="4"/>
        <v>175</v>
      </c>
      <c r="D275" s="4">
        <v>0</v>
      </c>
      <c r="E275" s="4">
        <f>175</f>
        <v>175</v>
      </c>
      <c r="F275" s="4">
        <v>0</v>
      </c>
      <c r="G275" s="4">
        <v>0</v>
      </c>
    </row>
    <row r="276" spans="1:7" ht="15" customHeight="1">
      <c r="A276" s="14"/>
      <c r="B276" s="14" t="s">
        <v>271</v>
      </c>
      <c r="C276" s="4">
        <f t="shared" si="4"/>
        <v>175</v>
      </c>
      <c r="D276" s="4">
        <f>175</f>
        <v>175</v>
      </c>
      <c r="E276" s="4">
        <v>0</v>
      </c>
      <c r="F276" s="4">
        <v>0</v>
      </c>
      <c r="G276" s="4">
        <v>0</v>
      </c>
    </row>
    <row r="277" spans="1:7" ht="15" customHeight="1">
      <c r="A277" s="14"/>
      <c r="B277" s="15" t="s">
        <v>402</v>
      </c>
      <c r="C277" s="4">
        <f t="shared" si="4"/>
        <v>175</v>
      </c>
      <c r="D277" s="4">
        <v>0</v>
      </c>
      <c r="E277" s="4">
        <v>0</v>
      </c>
      <c r="F277" s="4">
        <v>0</v>
      </c>
      <c r="G277" s="4">
        <f>175</f>
        <v>175</v>
      </c>
    </row>
    <row r="278" spans="1:7" ht="15" customHeight="1">
      <c r="A278" s="14"/>
      <c r="B278" s="15" t="s">
        <v>317</v>
      </c>
      <c r="C278" s="4">
        <f t="shared" si="4"/>
        <v>175</v>
      </c>
      <c r="D278" s="4">
        <v>0</v>
      </c>
      <c r="E278" s="4">
        <f>175</f>
        <v>175</v>
      </c>
      <c r="F278" s="4">
        <v>0</v>
      </c>
      <c r="G278" s="4">
        <v>0</v>
      </c>
    </row>
    <row r="279" spans="1:7" ht="15" customHeight="1">
      <c r="A279" s="14"/>
      <c r="B279" s="15" t="s">
        <v>415</v>
      </c>
      <c r="C279" s="4">
        <f t="shared" si="4"/>
        <v>175</v>
      </c>
      <c r="D279" s="4">
        <v>0</v>
      </c>
      <c r="E279" s="4">
        <v>0</v>
      </c>
      <c r="F279" s="4">
        <v>0</v>
      </c>
      <c r="G279" s="4">
        <f>175</f>
        <v>175</v>
      </c>
    </row>
    <row r="280" spans="1:7" ht="15" customHeight="1">
      <c r="A280" s="14"/>
      <c r="B280" s="15" t="s">
        <v>102</v>
      </c>
      <c r="C280" s="4">
        <f t="shared" si="4"/>
        <v>175</v>
      </c>
      <c r="D280" s="4">
        <v>0</v>
      </c>
      <c r="E280" s="4">
        <v>0</v>
      </c>
      <c r="F280" s="4">
        <v>0</v>
      </c>
      <c r="G280" s="4">
        <f>175</f>
        <v>175</v>
      </c>
    </row>
    <row r="281" spans="1:7" ht="15" customHeight="1">
      <c r="A281" s="14"/>
      <c r="B281" s="15" t="s">
        <v>126</v>
      </c>
      <c r="C281" s="4">
        <f t="shared" si="4"/>
        <v>175</v>
      </c>
      <c r="D281" s="4">
        <v>0</v>
      </c>
      <c r="E281" s="4">
        <v>0</v>
      </c>
      <c r="F281" s="4">
        <f>175</f>
        <v>175</v>
      </c>
      <c r="G281" s="4">
        <v>0</v>
      </c>
    </row>
    <row r="282" spans="1:7" ht="15" customHeight="1">
      <c r="A282" s="14"/>
      <c r="B282" s="15" t="s">
        <v>345</v>
      </c>
      <c r="C282" s="4">
        <f t="shared" si="4"/>
        <v>175</v>
      </c>
      <c r="D282" s="4">
        <v>0</v>
      </c>
      <c r="E282" s="4">
        <v>0</v>
      </c>
      <c r="F282" s="4">
        <f>175</f>
        <v>175</v>
      </c>
      <c r="G282" s="4">
        <v>0</v>
      </c>
    </row>
    <row r="283" spans="1:7" ht="15" customHeight="1">
      <c r="A283" s="14"/>
      <c r="B283" s="15" t="s">
        <v>436</v>
      </c>
      <c r="C283" s="4">
        <f t="shared" si="4"/>
        <v>175</v>
      </c>
      <c r="D283" s="4">
        <v>0</v>
      </c>
      <c r="E283" s="4">
        <v>0</v>
      </c>
      <c r="F283" s="4">
        <v>0</v>
      </c>
      <c r="G283" s="4">
        <v>175</v>
      </c>
    </row>
    <row r="284" spans="1:7" ht="15" customHeight="1">
      <c r="A284" s="14"/>
      <c r="B284" s="15" t="s">
        <v>342</v>
      </c>
      <c r="C284" s="4">
        <f t="shared" si="4"/>
        <v>175</v>
      </c>
      <c r="D284" s="4">
        <v>0</v>
      </c>
      <c r="E284" s="4">
        <v>0</v>
      </c>
      <c r="F284" s="4">
        <f>175</f>
        <v>175</v>
      </c>
      <c r="G284" s="4">
        <v>0</v>
      </c>
    </row>
    <row r="285" spans="1:7" ht="15" customHeight="1">
      <c r="A285" s="14"/>
      <c r="B285" s="15" t="s">
        <v>432</v>
      </c>
      <c r="C285" s="4">
        <f t="shared" si="4"/>
        <v>175</v>
      </c>
      <c r="D285" s="4">
        <v>0</v>
      </c>
      <c r="E285" s="4">
        <v>0</v>
      </c>
      <c r="F285" s="4">
        <v>0</v>
      </c>
      <c r="G285" s="4">
        <f>175</f>
        <v>175</v>
      </c>
    </row>
    <row r="286" spans="1:7" ht="15" customHeight="1">
      <c r="A286" s="14"/>
      <c r="B286" s="15" t="s">
        <v>430</v>
      </c>
      <c r="C286" s="4">
        <f t="shared" si="4"/>
        <v>175</v>
      </c>
      <c r="D286" s="4">
        <v>0</v>
      </c>
      <c r="E286" s="4">
        <v>0</v>
      </c>
      <c r="F286" s="4">
        <v>0</v>
      </c>
      <c r="G286" s="4">
        <f>175</f>
        <v>175</v>
      </c>
    </row>
    <row r="287" spans="1:7" ht="15" customHeight="1">
      <c r="A287" s="14"/>
      <c r="B287" s="15" t="s">
        <v>446</v>
      </c>
      <c r="C287" s="4">
        <f t="shared" si="4"/>
        <v>175</v>
      </c>
      <c r="D287" s="4">
        <v>0</v>
      </c>
      <c r="E287" s="4">
        <v>0</v>
      </c>
      <c r="F287" s="4">
        <v>0</v>
      </c>
      <c r="G287" s="4">
        <v>175</v>
      </c>
    </row>
    <row r="288" spans="1:7" ht="15" customHeight="1">
      <c r="A288" s="14"/>
      <c r="B288" s="15" t="s">
        <v>285</v>
      </c>
      <c r="C288" s="4">
        <f t="shared" si="4"/>
        <v>160</v>
      </c>
      <c r="D288" s="4">
        <v>0</v>
      </c>
      <c r="E288" s="4">
        <f>160</f>
        <v>160</v>
      </c>
      <c r="F288" s="4">
        <v>0</v>
      </c>
      <c r="G288" s="4">
        <v>0</v>
      </c>
    </row>
    <row r="289" spans="1:7" ht="15" customHeight="1">
      <c r="A289" s="14"/>
      <c r="B289" s="15" t="s">
        <v>222</v>
      </c>
      <c r="C289" s="4">
        <f t="shared" si="4"/>
        <v>160</v>
      </c>
      <c r="D289" s="4">
        <f>160</f>
        <v>160</v>
      </c>
      <c r="E289" s="4">
        <v>0</v>
      </c>
      <c r="F289" s="4">
        <v>0</v>
      </c>
      <c r="G289" s="4">
        <v>0</v>
      </c>
    </row>
    <row r="290" spans="1:7" ht="15" customHeight="1">
      <c r="A290" s="14"/>
      <c r="B290" s="15" t="s">
        <v>246</v>
      </c>
      <c r="C290" s="4">
        <f t="shared" si="4"/>
        <v>160</v>
      </c>
      <c r="D290" s="4">
        <f>160</f>
        <v>160</v>
      </c>
      <c r="E290" s="4">
        <v>0</v>
      </c>
      <c r="F290" s="4">
        <v>0</v>
      </c>
      <c r="G290" s="4">
        <v>0</v>
      </c>
    </row>
    <row r="291" spans="1:7" ht="15" customHeight="1">
      <c r="A291" s="14"/>
      <c r="B291" s="15" t="s">
        <v>375</v>
      </c>
      <c r="C291" s="4">
        <f t="shared" si="4"/>
        <v>160</v>
      </c>
      <c r="D291" s="4">
        <v>0</v>
      </c>
      <c r="E291" s="4">
        <v>0</v>
      </c>
      <c r="F291" s="4">
        <f>160</f>
        <v>160</v>
      </c>
      <c r="G291" s="4">
        <v>0</v>
      </c>
    </row>
    <row r="292" spans="1:7" ht="15" customHeight="1">
      <c r="A292" s="14"/>
      <c r="B292" s="15" t="s">
        <v>356</v>
      </c>
      <c r="C292" s="4">
        <f t="shared" si="4"/>
        <v>160</v>
      </c>
      <c r="D292" s="4">
        <v>0</v>
      </c>
      <c r="E292" s="4">
        <v>0</v>
      </c>
      <c r="F292" s="4">
        <f>160</f>
        <v>160</v>
      </c>
      <c r="G292" s="4">
        <v>0</v>
      </c>
    </row>
    <row r="293" spans="1:7" ht="15" customHeight="1">
      <c r="A293" s="14"/>
      <c r="B293" s="15" t="s">
        <v>445</v>
      </c>
      <c r="C293" s="4">
        <f>D293+E293+F295+G295</f>
        <v>160</v>
      </c>
      <c r="D293" s="4">
        <v>0</v>
      </c>
      <c r="E293" s="4">
        <v>0</v>
      </c>
      <c r="F293" s="4">
        <v>0</v>
      </c>
      <c r="G293" s="4">
        <v>225</v>
      </c>
    </row>
    <row r="294" spans="1:7" ht="15" customHeight="1">
      <c r="A294" s="14"/>
      <c r="B294" s="15" t="s">
        <v>350</v>
      </c>
      <c r="C294" s="4">
        <f aca="true" t="shared" si="5" ref="C294:C330">D294+E294+F294+G294</f>
        <v>160</v>
      </c>
      <c r="D294" s="4">
        <v>0</v>
      </c>
      <c r="E294" s="4">
        <v>0</v>
      </c>
      <c r="F294" s="4">
        <f>160</f>
        <v>160</v>
      </c>
      <c r="G294" s="4">
        <v>0</v>
      </c>
    </row>
    <row r="295" spans="1:7" ht="15" customHeight="1">
      <c r="A295" s="14"/>
      <c r="B295" s="15" t="s">
        <v>411</v>
      </c>
      <c r="C295" s="4">
        <f t="shared" si="5"/>
        <v>160</v>
      </c>
      <c r="D295" s="4">
        <v>0</v>
      </c>
      <c r="E295" s="4">
        <v>0</v>
      </c>
      <c r="F295" s="4">
        <v>0</v>
      </c>
      <c r="G295" s="4">
        <f>160</f>
        <v>160</v>
      </c>
    </row>
    <row r="296" spans="1:7" ht="15" customHeight="1">
      <c r="A296" s="14"/>
      <c r="B296" s="15" t="s">
        <v>418</v>
      </c>
      <c r="C296" s="4">
        <f t="shared" si="5"/>
        <v>160</v>
      </c>
      <c r="D296" s="4">
        <v>0</v>
      </c>
      <c r="E296" s="4">
        <v>0</v>
      </c>
      <c r="F296" s="4">
        <v>0</v>
      </c>
      <c r="G296" s="4">
        <f>160</f>
        <v>160</v>
      </c>
    </row>
    <row r="297" spans="1:7" ht="15" customHeight="1">
      <c r="A297" s="14"/>
      <c r="B297" s="15" t="s">
        <v>362</v>
      </c>
      <c r="C297" s="4">
        <f t="shared" si="5"/>
        <v>160</v>
      </c>
      <c r="D297" s="4">
        <v>0</v>
      </c>
      <c r="E297" s="4">
        <v>0</v>
      </c>
      <c r="F297" s="4">
        <f>160</f>
        <v>160</v>
      </c>
      <c r="G297" s="4">
        <v>0</v>
      </c>
    </row>
    <row r="298" spans="1:7" ht="15" customHeight="1">
      <c r="A298" s="14"/>
      <c r="B298" s="15" t="s">
        <v>439</v>
      </c>
      <c r="C298" s="4">
        <f t="shared" si="5"/>
        <v>160</v>
      </c>
      <c r="D298" s="4">
        <v>0</v>
      </c>
      <c r="E298" s="4">
        <v>0</v>
      </c>
      <c r="F298" s="4">
        <v>0</v>
      </c>
      <c r="G298" s="4">
        <v>160</v>
      </c>
    </row>
    <row r="299" spans="1:7" ht="15" customHeight="1">
      <c r="A299" s="14"/>
      <c r="B299" s="15" t="s">
        <v>273</v>
      </c>
      <c r="C299" s="4">
        <f t="shared" si="5"/>
        <v>160</v>
      </c>
      <c r="D299" s="4">
        <f>160</f>
        <v>160</v>
      </c>
      <c r="E299" s="4">
        <v>0</v>
      </c>
      <c r="F299" s="4">
        <v>0</v>
      </c>
      <c r="G299" s="4">
        <v>0</v>
      </c>
    </row>
    <row r="300" spans="1:7" ht="15" customHeight="1">
      <c r="A300" s="14"/>
      <c r="B300" s="15" t="s">
        <v>428</v>
      </c>
      <c r="C300" s="4">
        <f t="shared" si="5"/>
        <v>160</v>
      </c>
      <c r="D300" s="4">
        <v>0</v>
      </c>
      <c r="E300" s="4">
        <v>0</v>
      </c>
      <c r="F300" s="4">
        <v>0</v>
      </c>
      <c r="G300" s="4">
        <f>160</f>
        <v>160</v>
      </c>
    </row>
    <row r="301" spans="1:7" ht="15" customHeight="1">
      <c r="A301" s="14"/>
      <c r="B301" s="15" t="s">
        <v>190</v>
      </c>
      <c r="C301" s="4">
        <f t="shared" si="5"/>
        <v>160</v>
      </c>
      <c r="D301" s="4">
        <v>0</v>
      </c>
      <c r="E301" s="4">
        <f>160</f>
        <v>160</v>
      </c>
      <c r="F301" s="4">
        <v>0</v>
      </c>
      <c r="G301" s="4">
        <v>0</v>
      </c>
    </row>
    <row r="302" spans="1:7" ht="15" customHeight="1">
      <c r="A302" s="14"/>
      <c r="B302" s="15" t="s">
        <v>119</v>
      </c>
      <c r="C302" s="4">
        <f t="shared" si="5"/>
        <v>145</v>
      </c>
      <c r="D302" s="4">
        <f>145</f>
        <v>145</v>
      </c>
      <c r="E302" s="4">
        <v>0</v>
      </c>
      <c r="F302" s="4">
        <v>0</v>
      </c>
      <c r="G302" s="4">
        <v>0</v>
      </c>
    </row>
    <row r="303" spans="1:7" ht="15" customHeight="1">
      <c r="A303" s="14"/>
      <c r="B303" s="14" t="s">
        <v>335</v>
      </c>
      <c r="C303" s="4">
        <f t="shared" si="5"/>
        <v>145</v>
      </c>
      <c r="D303" s="4">
        <v>0</v>
      </c>
      <c r="E303" s="4">
        <f>145</f>
        <v>145</v>
      </c>
      <c r="F303" s="4">
        <v>0</v>
      </c>
      <c r="G303" s="4">
        <v>0</v>
      </c>
    </row>
    <row r="304" spans="1:7" ht="15" customHeight="1">
      <c r="A304" s="14"/>
      <c r="B304" s="15" t="s">
        <v>437</v>
      </c>
      <c r="C304" s="4">
        <f t="shared" si="5"/>
        <v>145</v>
      </c>
      <c r="D304" s="4">
        <v>0</v>
      </c>
      <c r="E304" s="4">
        <v>0</v>
      </c>
      <c r="F304" s="4">
        <v>0</v>
      </c>
      <c r="G304" s="4">
        <v>145</v>
      </c>
    </row>
    <row r="305" spans="1:7" ht="15" customHeight="1">
      <c r="A305" s="14"/>
      <c r="B305" s="15" t="s">
        <v>364</v>
      </c>
      <c r="C305" s="4">
        <f t="shared" si="5"/>
        <v>145</v>
      </c>
      <c r="D305" s="4">
        <v>0</v>
      </c>
      <c r="E305" s="4">
        <v>0</v>
      </c>
      <c r="F305" s="4">
        <f>145</f>
        <v>145</v>
      </c>
      <c r="G305" s="4">
        <v>0</v>
      </c>
    </row>
    <row r="306" spans="1:7" ht="15" customHeight="1">
      <c r="A306" s="14"/>
      <c r="B306" s="15" t="s">
        <v>388</v>
      </c>
      <c r="C306" s="4">
        <f t="shared" si="5"/>
        <v>145</v>
      </c>
      <c r="D306" s="4">
        <v>0</v>
      </c>
      <c r="E306" s="4">
        <v>0</v>
      </c>
      <c r="F306" s="4">
        <f>145</f>
        <v>145</v>
      </c>
      <c r="G306" s="4">
        <v>0</v>
      </c>
    </row>
    <row r="307" spans="1:7" ht="15" customHeight="1">
      <c r="A307" s="14"/>
      <c r="B307" s="15" t="s">
        <v>440</v>
      </c>
      <c r="C307" s="4">
        <f t="shared" si="5"/>
        <v>145</v>
      </c>
      <c r="D307" s="4">
        <v>0</v>
      </c>
      <c r="E307" s="4">
        <v>0</v>
      </c>
      <c r="F307" s="4">
        <v>0</v>
      </c>
      <c r="G307" s="4">
        <v>145</v>
      </c>
    </row>
    <row r="308" spans="1:7" ht="15" customHeight="1">
      <c r="A308" s="14"/>
      <c r="B308" s="15" t="s">
        <v>377</v>
      </c>
      <c r="C308" s="4">
        <f t="shared" si="5"/>
        <v>145</v>
      </c>
      <c r="D308" s="4">
        <v>0</v>
      </c>
      <c r="E308" s="4">
        <v>0</v>
      </c>
      <c r="F308" s="4">
        <f>145</f>
        <v>145</v>
      </c>
      <c r="G308" s="4">
        <v>0</v>
      </c>
    </row>
    <row r="309" spans="1:7" ht="15" customHeight="1">
      <c r="A309" s="14"/>
      <c r="B309" s="15" t="s">
        <v>311</v>
      </c>
      <c r="C309" s="4">
        <f t="shared" si="5"/>
        <v>145</v>
      </c>
      <c r="D309" s="4">
        <v>0</v>
      </c>
      <c r="E309" s="4">
        <f>145</f>
        <v>145</v>
      </c>
      <c r="F309" s="4">
        <v>0</v>
      </c>
      <c r="G309" s="4">
        <v>0</v>
      </c>
    </row>
    <row r="310" spans="1:7" ht="15" customHeight="1">
      <c r="A310" s="14"/>
      <c r="B310" s="15" t="s">
        <v>278</v>
      </c>
      <c r="C310" s="4">
        <f t="shared" si="5"/>
        <v>145</v>
      </c>
      <c r="D310" s="4">
        <v>0</v>
      </c>
      <c r="E310" s="4">
        <f>145</f>
        <v>145</v>
      </c>
      <c r="F310" s="4">
        <v>0</v>
      </c>
      <c r="G310" s="4">
        <v>0</v>
      </c>
    </row>
    <row r="311" spans="1:7" ht="15" customHeight="1">
      <c r="A311" s="14"/>
      <c r="B311" s="15" t="s">
        <v>77</v>
      </c>
      <c r="C311" s="4">
        <f t="shared" si="5"/>
        <v>145</v>
      </c>
      <c r="D311" s="4">
        <f>145</f>
        <v>145</v>
      </c>
      <c r="E311" s="4">
        <v>0</v>
      </c>
      <c r="F311" s="4">
        <v>0</v>
      </c>
      <c r="G311" s="4">
        <v>0</v>
      </c>
    </row>
    <row r="312" spans="1:7" ht="15" customHeight="1">
      <c r="A312" s="14"/>
      <c r="B312" s="15" t="s">
        <v>357</v>
      </c>
      <c r="C312" s="4">
        <f t="shared" si="5"/>
        <v>145</v>
      </c>
      <c r="D312" s="4">
        <v>0</v>
      </c>
      <c r="E312" s="4">
        <v>0</v>
      </c>
      <c r="F312" s="4">
        <f>145</f>
        <v>145</v>
      </c>
      <c r="G312" s="4">
        <v>0</v>
      </c>
    </row>
    <row r="313" spans="1:7" ht="15" customHeight="1">
      <c r="A313" s="14"/>
      <c r="B313" s="15" t="s">
        <v>376</v>
      </c>
      <c r="C313" s="4">
        <f t="shared" si="5"/>
        <v>145</v>
      </c>
      <c r="D313" s="4">
        <v>0</v>
      </c>
      <c r="E313" s="4">
        <v>0</v>
      </c>
      <c r="F313" s="4">
        <f>145</f>
        <v>145</v>
      </c>
      <c r="G313" s="4">
        <v>0</v>
      </c>
    </row>
    <row r="314" spans="1:7" ht="15" customHeight="1">
      <c r="A314" s="14"/>
      <c r="B314" s="14" t="s">
        <v>149</v>
      </c>
      <c r="C314" s="4">
        <f t="shared" si="5"/>
        <v>130</v>
      </c>
      <c r="D314" s="4">
        <v>0</v>
      </c>
      <c r="E314" s="4">
        <v>0</v>
      </c>
      <c r="F314" s="4">
        <f>130</f>
        <v>130</v>
      </c>
      <c r="G314" s="4">
        <v>0</v>
      </c>
    </row>
    <row r="315" spans="1:7" ht="15" customHeight="1">
      <c r="A315" s="14"/>
      <c r="B315" s="15" t="s">
        <v>385</v>
      </c>
      <c r="C315" s="4">
        <f t="shared" si="5"/>
        <v>130</v>
      </c>
      <c r="D315" s="4">
        <v>0</v>
      </c>
      <c r="E315" s="4">
        <v>0</v>
      </c>
      <c r="F315" s="4">
        <f>130</f>
        <v>130</v>
      </c>
      <c r="G315" s="4">
        <v>0</v>
      </c>
    </row>
    <row r="316" spans="1:7" ht="15" customHeight="1">
      <c r="A316" s="14"/>
      <c r="B316" s="15" t="s">
        <v>147</v>
      </c>
      <c r="C316" s="4">
        <f t="shared" si="5"/>
        <v>130</v>
      </c>
      <c r="D316" s="4">
        <v>0</v>
      </c>
      <c r="E316" s="4">
        <f>130</f>
        <v>130</v>
      </c>
      <c r="F316" s="4">
        <v>0</v>
      </c>
      <c r="G316" s="4">
        <v>0</v>
      </c>
    </row>
    <row r="317" spans="1:7" ht="15" customHeight="1">
      <c r="A317" s="14"/>
      <c r="B317" s="15" t="s">
        <v>257</v>
      </c>
      <c r="C317" s="4">
        <f t="shared" si="5"/>
        <v>130</v>
      </c>
      <c r="D317" s="4">
        <f>130</f>
        <v>130</v>
      </c>
      <c r="E317" s="4">
        <v>0</v>
      </c>
      <c r="F317" s="4">
        <v>0</v>
      </c>
      <c r="G317" s="4">
        <v>0</v>
      </c>
    </row>
    <row r="318" spans="1:7" ht="15" customHeight="1">
      <c r="A318" s="14"/>
      <c r="B318" s="15" t="s">
        <v>358</v>
      </c>
      <c r="C318" s="4">
        <f t="shared" si="5"/>
        <v>130</v>
      </c>
      <c r="D318" s="4">
        <v>0</v>
      </c>
      <c r="E318" s="4">
        <v>0</v>
      </c>
      <c r="F318" s="4">
        <f>130</f>
        <v>130</v>
      </c>
      <c r="G318" s="4">
        <v>0</v>
      </c>
    </row>
    <row r="319" spans="1:7" ht="15" customHeight="1">
      <c r="A319" s="14"/>
      <c r="B319" s="15" t="s">
        <v>319</v>
      </c>
      <c r="C319" s="4">
        <f t="shared" si="5"/>
        <v>130</v>
      </c>
      <c r="D319" s="4">
        <v>0</v>
      </c>
      <c r="E319" s="4">
        <f>130</f>
        <v>130</v>
      </c>
      <c r="F319" s="4">
        <v>0</v>
      </c>
      <c r="G319" s="4">
        <v>0</v>
      </c>
    </row>
    <row r="320" spans="1:7" ht="15" customHeight="1">
      <c r="A320" s="14"/>
      <c r="B320" s="15" t="s">
        <v>121</v>
      </c>
      <c r="C320" s="4">
        <f t="shared" si="5"/>
        <v>130</v>
      </c>
      <c r="D320" s="4">
        <v>0</v>
      </c>
      <c r="E320" s="4">
        <v>0</v>
      </c>
      <c r="F320" s="4">
        <v>0</v>
      </c>
      <c r="G320" s="4">
        <v>130</v>
      </c>
    </row>
    <row r="321" spans="1:7" ht="15" customHeight="1">
      <c r="A321" s="14"/>
      <c r="B321" s="15" t="s">
        <v>214</v>
      </c>
      <c r="C321" s="4">
        <f t="shared" si="5"/>
        <v>130</v>
      </c>
      <c r="D321" s="4">
        <v>0</v>
      </c>
      <c r="E321" s="4">
        <v>0</v>
      </c>
      <c r="F321" s="4">
        <v>0</v>
      </c>
      <c r="G321" s="4">
        <v>130</v>
      </c>
    </row>
    <row r="322" spans="1:7" ht="15" customHeight="1">
      <c r="A322" s="14"/>
      <c r="B322" s="15" t="s">
        <v>306</v>
      </c>
      <c r="C322" s="4">
        <f t="shared" si="5"/>
        <v>115</v>
      </c>
      <c r="D322" s="4">
        <v>0</v>
      </c>
      <c r="E322" s="4">
        <f>115</f>
        <v>115</v>
      </c>
      <c r="F322" s="4">
        <v>0</v>
      </c>
      <c r="G322" s="4">
        <v>0</v>
      </c>
    </row>
    <row r="323" spans="1:7" ht="15" customHeight="1">
      <c r="A323" s="14"/>
      <c r="B323" s="15" t="s">
        <v>235</v>
      </c>
      <c r="C323" s="4">
        <f t="shared" si="5"/>
        <v>115</v>
      </c>
      <c r="D323" s="4">
        <v>0</v>
      </c>
      <c r="E323" s="4">
        <v>0</v>
      </c>
      <c r="F323" s="4">
        <v>0</v>
      </c>
      <c r="G323" s="4">
        <f>115</f>
        <v>115</v>
      </c>
    </row>
    <row r="324" spans="1:7" ht="15" customHeight="1">
      <c r="A324" s="14"/>
      <c r="B324" s="14" t="s">
        <v>158</v>
      </c>
      <c r="C324" s="4">
        <f t="shared" si="5"/>
        <v>115</v>
      </c>
      <c r="D324" s="4">
        <f>115</f>
        <v>115</v>
      </c>
      <c r="E324" s="4">
        <v>0</v>
      </c>
      <c r="F324" s="4">
        <v>0</v>
      </c>
      <c r="G324" s="4">
        <v>0</v>
      </c>
    </row>
    <row r="325" spans="1:7" ht="15" customHeight="1">
      <c r="A325" s="14"/>
      <c r="B325" s="15" t="s">
        <v>343</v>
      </c>
      <c r="C325" s="4">
        <f t="shared" si="5"/>
        <v>115</v>
      </c>
      <c r="D325" s="4">
        <v>0</v>
      </c>
      <c r="E325" s="4">
        <v>0</v>
      </c>
      <c r="F325" s="4">
        <f>115</f>
        <v>115</v>
      </c>
      <c r="G325" s="4">
        <v>0</v>
      </c>
    </row>
    <row r="326" spans="1:7" ht="15" customHeight="1">
      <c r="A326" s="14"/>
      <c r="B326" s="15" t="s">
        <v>258</v>
      </c>
      <c r="C326" s="4">
        <f t="shared" si="5"/>
        <v>115</v>
      </c>
      <c r="D326" s="4">
        <f>115</f>
        <v>115</v>
      </c>
      <c r="E326" s="4">
        <v>0</v>
      </c>
      <c r="F326" s="4">
        <v>0</v>
      </c>
      <c r="G326" s="4">
        <v>0</v>
      </c>
    </row>
    <row r="327" spans="1:7" ht="15" customHeight="1">
      <c r="A327" s="14"/>
      <c r="B327" s="15" t="s">
        <v>438</v>
      </c>
      <c r="C327" s="4">
        <f t="shared" si="5"/>
        <v>115</v>
      </c>
      <c r="D327" s="4">
        <v>0</v>
      </c>
      <c r="E327" s="4">
        <v>0</v>
      </c>
      <c r="F327" s="4">
        <v>0</v>
      </c>
      <c r="G327" s="4">
        <v>115</v>
      </c>
    </row>
    <row r="328" spans="1:7" ht="15" customHeight="1">
      <c r="A328" s="14"/>
      <c r="B328" s="15" t="s">
        <v>403</v>
      </c>
      <c r="C328" s="4">
        <f t="shared" si="5"/>
        <v>115</v>
      </c>
      <c r="D328" s="4">
        <v>0</v>
      </c>
      <c r="E328" s="4">
        <v>0</v>
      </c>
      <c r="F328" s="4">
        <v>0</v>
      </c>
      <c r="G328" s="4">
        <f>115</f>
        <v>115</v>
      </c>
    </row>
    <row r="329" spans="1:7" ht="15" customHeight="1">
      <c r="A329" s="14"/>
      <c r="B329" s="15" t="s">
        <v>425</v>
      </c>
      <c r="C329" s="4">
        <f t="shared" si="5"/>
        <v>115</v>
      </c>
      <c r="D329" s="4">
        <v>0</v>
      </c>
      <c r="E329" s="4">
        <v>0</v>
      </c>
      <c r="F329" s="4">
        <v>0</v>
      </c>
      <c r="G329" s="4">
        <f>115</f>
        <v>115</v>
      </c>
    </row>
    <row r="330" spans="1:7" ht="15" customHeight="1">
      <c r="A330" s="14"/>
      <c r="B330" s="15" t="s">
        <v>431</v>
      </c>
      <c r="C330" s="4">
        <f t="shared" si="5"/>
        <v>115</v>
      </c>
      <c r="D330" s="4">
        <v>0</v>
      </c>
      <c r="E330" s="4">
        <v>0</v>
      </c>
      <c r="F330" s="4">
        <v>0</v>
      </c>
      <c r="G330" s="4">
        <f>115</f>
        <v>115</v>
      </c>
    </row>
    <row r="331" spans="1:7" ht="15">
      <c r="A331" s="10"/>
      <c r="B331" s="8"/>
      <c r="C331" s="11"/>
      <c r="D331" s="11"/>
      <c r="E331" s="11"/>
      <c r="F331" s="11"/>
      <c r="G331" s="11"/>
    </row>
    <row r="332" spans="1:7" ht="18.75" customHeight="1">
      <c r="A332" s="30" t="s">
        <v>3</v>
      </c>
      <c r="B332" s="30"/>
      <c r="C332" s="30"/>
      <c r="D332" s="5"/>
      <c r="E332" s="5"/>
      <c r="F332" s="5"/>
      <c r="G332" s="5"/>
    </row>
    <row r="333" spans="1:7" ht="18.75" customHeight="1">
      <c r="A333" s="31" t="s">
        <v>4</v>
      </c>
      <c r="B333" s="32"/>
      <c r="C333" s="32"/>
      <c r="D333" s="6"/>
      <c r="E333" s="6"/>
      <c r="F333" s="6"/>
      <c r="G333" s="6"/>
    </row>
    <row r="334" spans="1:7" ht="18.75" customHeight="1">
      <c r="A334" s="33" t="s">
        <v>5</v>
      </c>
      <c r="B334" s="34"/>
      <c r="C334" s="34"/>
      <c r="D334" s="7"/>
      <c r="E334" s="7"/>
      <c r="F334" s="7"/>
      <c r="G334" s="7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</sheetData>
  <sheetProtection/>
  <mergeCells count="9">
    <mergeCell ref="A332:C332"/>
    <mergeCell ref="A333:C333"/>
    <mergeCell ref="A334:C334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F63 F100 E131 E158 G201 C29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5"/>
      <c r="B1" s="35"/>
      <c r="C1" s="35"/>
      <c r="D1" s="35"/>
      <c r="E1" s="35"/>
      <c r="F1" s="35"/>
      <c r="G1" s="35"/>
    </row>
    <row r="2" spans="1:7" ht="45" customHeight="1">
      <c r="A2" s="36" t="s">
        <v>37</v>
      </c>
      <c r="B2" s="36"/>
      <c r="C2" s="36"/>
      <c r="D2" s="36"/>
      <c r="E2" s="36"/>
      <c r="F2" s="36"/>
      <c r="G2" s="36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7" t="s">
        <v>237</v>
      </c>
      <c r="B4" s="38"/>
      <c r="C4" s="38"/>
      <c r="D4" s="38"/>
      <c r="E4" s="38"/>
      <c r="F4" s="38"/>
      <c r="G4" s="38"/>
    </row>
    <row r="5" spans="1:7" ht="9.75" customHeight="1">
      <c r="A5" s="37"/>
      <c r="B5" s="38"/>
      <c r="C5" s="38"/>
      <c r="D5" s="38"/>
      <c r="E5" s="38"/>
      <c r="F5" s="38"/>
      <c r="G5" s="38"/>
    </row>
    <row r="6" spans="1:7" ht="30" customHeight="1">
      <c r="A6" s="39" t="s">
        <v>238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38</v>
      </c>
      <c r="E8" s="2" t="s">
        <v>39</v>
      </c>
      <c r="F8" s="2" t="s">
        <v>40</v>
      </c>
      <c r="G8" s="2" t="s">
        <v>41</v>
      </c>
      <c r="H8" s="3"/>
    </row>
    <row r="9" spans="1:7" ht="15" customHeight="1">
      <c r="A9" s="16">
        <v>1</v>
      </c>
      <c r="B9" s="17" t="s">
        <v>11</v>
      </c>
      <c r="C9" s="19">
        <f aca="true" t="shared" si="0" ref="C9:C72">D9+E9+F9+G9</f>
        <v>9980</v>
      </c>
      <c r="D9" s="18">
        <v>375</v>
      </c>
      <c r="E9" s="18">
        <f>250+375+300+275+475+575+575+300</f>
        <v>3125</v>
      </c>
      <c r="F9" s="18">
        <f>250+325+325+300+375+425+475+375+475+475+575+300</f>
        <v>4675</v>
      </c>
      <c r="G9" s="18">
        <f>130+300+350+375+350+300</f>
        <v>1805</v>
      </c>
    </row>
    <row r="10" spans="1:7" ht="15" customHeight="1">
      <c r="A10" s="16">
        <v>2</v>
      </c>
      <c r="B10" s="17" t="s">
        <v>8</v>
      </c>
      <c r="C10" s="19">
        <f t="shared" si="0"/>
        <v>9680</v>
      </c>
      <c r="D10" s="18">
        <v>145</v>
      </c>
      <c r="E10" s="18">
        <f>375+225+175+475+225+375+475+325+200+225+250+160</f>
        <v>3485</v>
      </c>
      <c r="F10" s="18">
        <f>325+350+115+325+145+225+300+275+425+225</f>
        <v>2710</v>
      </c>
      <c r="G10" s="18">
        <f>375+225+115+250+275+250+425+475+200+375+375</f>
        <v>3340</v>
      </c>
    </row>
    <row r="11" spans="1:7" ht="15" customHeight="1">
      <c r="A11" s="16">
        <v>3</v>
      </c>
      <c r="B11" s="17" t="s">
        <v>31</v>
      </c>
      <c r="C11" s="19">
        <f t="shared" si="0"/>
        <v>7355</v>
      </c>
      <c r="D11" s="18">
        <v>425</v>
      </c>
      <c r="E11" s="18">
        <f>300+130+225+350+575+425+250</f>
        <v>2255</v>
      </c>
      <c r="F11" s="18">
        <f>145+475+350+575+475+475</f>
        <v>2495</v>
      </c>
      <c r="G11" s="18">
        <f>300+250+425+115+225+160+575+130</f>
        <v>2180</v>
      </c>
    </row>
    <row r="12" spans="1:7" ht="15" customHeight="1">
      <c r="A12" s="16">
        <v>4</v>
      </c>
      <c r="B12" s="17" t="s">
        <v>7</v>
      </c>
      <c r="C12" s="19">
        <f t="shared" si="0"/>
        <v>6660</v>
      </c>
      <c r="D12" s="18">
        <v>0</v>
      </c>
      <c r="E12" s="18">
        <f>425+275+275+200+115+575+375+145</f>
        <v>2385</v>
      </c>
      <c r="F12" s="18">
        <f>130+115+350+275+300+275+160+175</f>
        <v>1780</v>
      </c>
      <c r="G12" s="18">
        <f>225+225+250+300+225+375+145+425+325</f>
        <v>2495</v>
      </c>
    </row>
    <row r="13" spans="1:7" ht="15" customHeight="1">
      <c r="A13" s="16">
        <v>5</v>
      </c>
      <c r="B13" s="17" t="s">
        <v>59</v>
      </c>
      <c r="C13" s="19">
        <f t="shared" si="0"/>
        <v>6215</v>
      </c>
      <c r="D13" s="18">
        <v>0</v>
      </c>
      <c r="E13" s="18">
        <f>160+425+175+160+575</f>
        <v>1495</v>
      </c>
      <c r="F13" s="18">
        <f>160+300+375+300+325+425+160+325+350</f>
        <v>2720</v>
      </c>
      <c r="G13" s="18">
        <f>475+200+425+325+300+275</f>
        <v>2000</v>
      </c>
    </row>
    <row r="14" spans="1:7" ht="15" customHeight="1">
      <c r="A14" s="16">
        <v>6</v>
      </c>
      <c r="B14" s="17" t="s">
        <v>9</v>
      </c>
      <c r="C14" s="19">
        <f t="shared" si="0"/>
        <v>6165</v>
      </c>
      <c r="D14" s="18">
        <v>175</v>
      </c>
      <c r="E14" s="18">
        <f>325+250+115+350+275+475+115</f>
        <v>1905</v>
      </c>
      <c r="F14" s="18">
        <f>300+130+275+130+325+145+325+350</f>
        <v>1980</v>
      </c>
      <c r="G14" s="18">
        <f>145+200+175+275+325+160+325+325+175</f>
        <v>2105</v>
      </c>
    </row>
    <row r="15" spans="1:7" ht="15" customHeight="1">
      <c r="A15" s="16">
        <v>7</v>
      </c>
      <c r="B15" s="17" t="s">
        <v>27</v>
      </c>
      <c r="C15" s="19">
        <f t="shared" si="0"/>
        <v>5895</v>
      </c>
      <c r="D15" s="18">
        <v>0</v>
      </c>
      <c r="E15" s="23">
        <f>300+175+175+175+325</f>
        <v>1150</v>
      </c>
      <c r="F15" s="18">
        <f>250+375+250+225+275+575+145+375</f>
        <v>2470</v>
      </c>
      <c r="G15" s="18">
        <f>575+275+250+325+425+425</f>
        <v>2275</v>
      </c>
    </row>
    <row r="16" spans="1:7" ht="15" customHeight="1">
      <c r="A16" s="16">
        <v>8</v>
      </c>
      <c r="B16" s="17" t="s">
        <v>10</v>
      </c>
      <c r="C16" s="19">
        <f t="shared" si="0"/>
        <v>5850</v>
      </c>
      <c r="D16" s="18">
        <v>0</v>
      </c>
      <c r="E16" s="18">
        <f>350+325+300+160+175</f>
        <v>1310</v>
      </c>
      <c r="F16" s="18">
        <f>175+175+200+145+145+375+130+145+575+300+200</f>
        <v>2565</v>
      </c>
      <c r="G16" s="18">
        <f>250+425+375+350+350+225</f>
        <v>1975</v>
      </c>
    </row>
    <row r="17" spans="1:7" ht="15" customHeight="1">
      <c r="A17" s="16">
        <v>9</v>
      </c>
      <c r="B17" s="17" t="s">
        <v>25</v>
      </c>
      <c r="C17" s="19">
        <f t="shared" si="0"/>
        <v>5755</v>
      </c>
      <c r="D17" s="18">
        <v>0</v>
      </c>
      <c r="E17" s="18">
        <f>160+145+200+250+575+425</f>
        <v>1755</v>
      </c>
      <c r="F17" s="18">
        <f>575+425+250+145+250+175</f>
        <v>1820</v>
      </c>
      <c r="G17" s="18">
        <f>575+475+475+130+350+175</f>
        <v>2180</v>
      </c>
    </row>
    <row r="18" spans="1:7" ht="15" customHeight="1">
      <c r="A18" s="16">
        <v>9</v>
      </c>
      <c r="B18" s="17" t="s">
        <v>57</v>
      </c>
      <c r="C18" s="19">
        <f t="shared" si="0"/>
        <v>5755</v>
      </c>
      <c r="D18" s="18">
        <v>0</v>
      </c>
      <c r="E18" s="18">
        <f>350+115+175+115+130+250</f>
        <v>1135</v>
      </c>
      <c r="F18" s="18">
        <f>350+130+175+130+575+475+375</f>
        <v>2210</v>
      </c>
      <c r="G18" s="18">
        <f>225+375+160+375+250+375+425+225</f>
        <v>2410</v>
      </c>
    </row>
    <row r="19" spans="1:7" ht="15" customHeight="1">
      <c r="A19" s="16">
        <v>10</v>
      </c>
      <c r="B19" s="17" t="s">
        <v>96</v>
      </c>
      <c r="C19" s="19">
        <f t="shared" si="0"/>
        <v>5615</v>
      </c>
      <c r="D19" s="18">
        <v>0</v>
      </c>
      <c r="E19" s="18">
        <v>0</v>
      </c>
      <c r="F19" s="18">
        <f>575+300+425+115+225+425+325+375+425+160</f>
        <v>3350</v>
      </c>
      <c r="G19" s="18">
        <f>375+200+425+475+115+250+425</f>
        <v>2265</v>
      </c>
    </row>
    <row r="20" spans="1:7" ht="15" customHeight="1">
      <c r="A20" s="16">
        <v>11</v>
      </c>
      <c r="B20" s="16" t="s">
        <v>26</v>
      </c>
      <c r="C20" s="18">
        <f t="shared" si="0"/>
        <v>5355</v>
      </c>
      <c r="D20" s="18">
        <v>0</v>
      </c>
      <c r="E20" s="18">
        <f>250+300+115+575+325+275+145+475</f>
        <v>2460</v>
      </c>
      <c r="F20" s="18">
        <f>175+200+145+275+115+425</f>
        <v>1335</v>
      </c>
      <c r="G20" s="18">
        <f>160+175+250+375+175+425</f>
        <v>1560</v>
      </c>
    </row>
    <row r="21" spans="1:7" ht="15" customHeight="1">
      <c r="A21" s="16">
        <v>12</v>
      </c>
      <c r="B21" s="17" t="s">
        <v>58</v>
      </c>
      <c r="C21" s="18">
        <f t="shared" si="0"/>
        <v>4710</v>
      </c>
      <c r="D21" s="18">
        <v>0</v>
      </c>
      <c r="E21" s="18">
        <f>325+325+300+200</f>
        <v>1150</v>
      </c>
      <c r="F21" s="18">
        <f>475+160+275+350+425</f>
        <v>1685</v>
      </c>
      <c r="G21" s="18">
        <f>350+300+200+130+145+475+275</f>
        <v>1875</v>
      </c>
    </row>
    <row r="22" spans="1:7" ht="15" customHeight="1">
      <c r="A22" s="16">
        <v>13</v>
      </c>
      <c r="B22" s="17" t="s">
        <v>193</v>
      </c>
      <c r="C22" s="18">
        <f t="shared" si="0"/>
        <v>4665</v>
      </c>
      <c r="D22" s="18">
        <v>0</v>
      </c>
      <c r="E22" s="18">
        <f>375+300+425+160+225+275+175</f>
        <v>1935</v>
      </c>
      <c r="F22" s="18">
        <f>145+375+475+160+325+160+325+175</f>
        <v>2140</v>
      </c>
      <c r="G22" s="18">
        <f>130+300+160</f>
        <v>590</v>
      </c>
    </row>
    <row r="23" spans="1:7" ht="15" customHeight="1">
      <c r="A23" s="16">
        <v>14</v>
      </c>
      <c r="B23" s="17" t="s">
        <v>61</v>
      </c>
      <c r="C23" s="18">
        <f t="shared" si="0"/>
        <v>4625</v>
      </c>
      <c r="D23" s="18">
        <v>0</v>
      </c>
      <c r="E23" s="18">
        <f>425+225+575+475</f>
        <v>1700</v>
      </c>
      <c r="F23" s="18">
        <f>200+325+250</f>
        <v>775</v>
      </c>
      <c r="G23" s="18">
        <f>425+300+275+325+225+300+300</f>
        <v>2150</v>
      </c>
    </row>
    <row r="24" spans="1:7" ht="15" customHeight="1">
      <c r="A24" s="16">
        <v>15</v>
      </c>
      <c r="B24" s="17" t="s">
        <v>64</v>
      </c>
      <c r="C24" s="18">
        <f t="shared" si="0"/>
        <v>4615</v>
      </c>
      <c r="D24" s="18">
        <v>0</v>
      </c>
      <c r="E24" s="18">
        <f>275+160+130</f>
        <v>565</v>
      </c>
      <c r="F24" s="18">
        <f>145+475+375+575+275+130+200</f>
        <v>2175</v>
      </c>
      <c r="G24" s="18">
        <f>325+425+575+300+250</f>
        <v>1875</v>
      </c>
    </row>
    <row r="25" spans="1:7" ht="15" customHeight="1">
      <c r="A25" s="16">
        <v>16</v>
      </c>
      <c r="B25" s="17" t="s">
        <v>15</v>
      </c>
      <c r="C25" s="18">
        <f t="shared" si="0"/>
        <v>4550</v>
      </c>
      <c r="D25" s="18">
        <v>0</v>
      </c>
      <c r="E25" s="18">
        <f>575+325+275+350+175+300</f>
        <v>2000</v>
      </c>
      <c r="F25" s="18">
        <f>225+175+325</f>
        <v>725</v>
      </c>
      <c r="G25" s="18">
        <f>275+575+350+250+375</f>
        <v>1825</v>
      </c>
    </row>
    <row r="26" spans="1:7" ht="15" customHeight="1">
      <c r="A26" s="16">
        <v>17</v>
      </c>
      <c r="B26" s="17" t="s">
        <v>13</v>
      </c>
      <c r="C26" s="18">
        <f t="shared" si="0"/>
        <v>4395</v>
      </c>
      <c r="D26" s="18">
        <v>0</v>
      </c>
      <c r="E26" s="18">
        <f>175+225+350+130+200+375</f>
        <v>1455</v>
      </c>
      <c r="F26" s="18">
        <f>350+275+575+200+250+575+350+115</f>
        <v>2690</v>
      </c>
      <c r="G26" s="18">
        <f>250</f>
        <v>250</v>
      </c>
    </row>
    <row r="27" spans="1:7" ht="15" customHeight="1">
      <c r="A27" s="16">
        <v>18</v>
      </c>
      <c r="B27" s="17" t="s">
        <v>34</v>
      </c>
      <c r="C27" s="18">
        <f t="shared" si="0"/>
        <v>4025</v>
      </c>
      <c r="D27" s="18">
        <v>0</v>
      </c>
      <c r="E27" s="18">
        <f>145+145+250+350+425+325+325</f>
        <v>1965</v>
      </c>
      <c r="F27" s="18">
        <f>250+225+175+275+160+375+275</f>
        <v>1735</v>
      </c>
      <c r="G27" s="18">
        <f>325</f>
        <v>325</v>
      </c>
    </row>
    <row r="28" spans="1:7" ht="15" customHeight="1">
      <c r="A28" s="16">
        <v>19</v>
      </c>
      <c r="B28" s="17" t="s">
        <v>143</v>
      </c>
      <c r="C28" s="18">
        <f t="shared" si="0"/>
        <v>3985</v>
      </c>
      <c r="D28" s="18">
        <v>0</v>
      </c>
      <c r="E28" s="18">
        <v>0</v>
      </c>
      <c r="F28" s="18">
        <f>300+225+250+130</f>
        <v>905</v>
      </c>
      <c r="G28" s="18">
        <f>350+145+575+425+575+375+475+160</f>
        <v>3080</v>
      </c>
    </row>
    <row r="29" spans="1:7" ht="15" customHeight="1">
      <c r="A29" s="16">
        <v>20</v>
      </c>
      <c r="B29" s="17" t="s">
        <v>21</v>
      </c>
      <c r="C29" s="18">
        <f t="shared" si="0"/>
        <v>3930</v>
      </c>
      <c r="D29" s="18">
        <v>275</v>
      </c>
      <c r="E29" s="18">
        <f>160+425+145+425</f>
        <v>1155</v>
      </c>
      <c r="F29" s="18">
        <f>575</f>
        <v>575</v>
      </c>
      <c r="G29" s="18">
        <f>475+250+275+575+350</f>
        <v>1925</v>
      </c>
    </row>
    <row r="30" spans="1:7" ht="15" customHeight="1">
      <c r="A30" s="16">
        <v>21</v>
      </c>
      <c r="B30" s="17" t="s">
        <v>82</v>
      </c>
      <c r="C30" s="18">
        <f t="shared" si="0"/>
        <v>3520</v>
      </c>
      <c r="D30" s="18">
        <v>0</v>
      </c>
      <c r="E30" s="18">
        <f>200+350</f>
        <v>550</v>
      </c>
      <c r="F30" s="18">
        <f>200+425+145+200</f>
        <v>970</v>
      </c>
      <c r="G30" s="18">
        <f>375+575+275+300+475</f>
        <v>2000</v>
      </c>
    </row>
    <row r="31" spans="1:7" ht="15" customHeight="1">
      <c r="A31" s="16">
        <v>22</v>
      </c>
      <c r="B31" s="17" t="s">
        <v>125</v>
      </c>
      <c r="C31" s="18">
        <f t="shared" si="0"/>
        <v>3190</v>
      </c>
      <c r="D31" s="18">
        <v>0</v>
      </c>
      <c r="E31" s="18">
        <v>0</v>
      </c>
      <c r="F31" s="18">
        <f>300+425+160+350+145</f>
        <v>1380</v>
      </c>
      <c r="G31" s="18">
        <f>475+350+300+325+160+200</f>
        <v>1810</v>
      </c>
    </row>
    <row r="32" spans="1:7" ht="15" customHeight="1">
      <c r="A32" s="16">
        <v>23</v>
      </c>
      <c r="B32" s="16" t="s">
        <v>68</v>
      </c>
      <c r="C32" s="18">
        <f t="shared" si="0"/>
        <v>3130</v>
      </c>
      <c r="D32" s="18">
        <v>0</v>
      </c>
      <c r="E32" s="18">
        <f>425+145</f>
        <v>570</v>
      </c>
      <c r="F32" s="18">
        <f>350+175</f>
        <v>525</v>
      </c>
      <c r="G32" s="18">
        <f>350+350+575+275+145+225+115</f>
        <v>2035</v>
      </c>
    </row>
    <row r="33" spans="1:7" ht="15" customHeight="1">
      <c r="A33" s="16">
        <v>24</v>
      </c>
      <c r="B33" s="17" t="s">
        <v>35</v>
      </c>
      <c r="C33" s="18">
        <f t="shared" si="0"/>
        <v>2905</v>
      </c>
      <c r="D33" s="18">
        <v>0</v>
      </c>
      <c r="E33" s="18">
        <f>475+375+200</f>
        <v>1050</v>
      </c>
      <c r="F33" s="18">
        <f>475+130+475+300+475</f>
        <v>1855</v>
      </c>
      <c r="G33" s="18">
        <v>0</v>
      </c>
    </row>
    <row r="34" spans="1:7" ht="15" customHeight="1">
      <c r="A34" s="16">
        <v>25</v>
      </c>
      <c r="B34" s="17" t="s">
        <v>29</v>
      </c>
      <c r="C34" s="18">
        <f t="shared" si="0"/>
        <v>2780</v>
      </c>
      <c r="D34" s="18">
        <v>0</v>
      </c>
      <c r="E34" s="18">
        <f>145+160+475+350+475</f>
        <v>1605</v>
      </c>
      <c r="F34" s="18">
        <f>375</f>
        <v>375</v>
      </c>
      <c r="G34" s="18">
        <f>375+425</f>
        <v>800</v>
      </c>
    </row>
    <row r="35" spans="1:9" ht="15" customHeight="1">
      <c r="A35" s="16">
        <v>26</v>
      </c>
      <c r="B35" s="17" t="s">
        <v>108</v>
      </c>
      <c r="C35" s="18">
        <f t="shared" si="0"/>
        <v>2725</v>
      </c>
      <c r="D35" s="18">
        <v>0</v>
      </c>
      <c r="E35" s="18">
        <v>0</v>
      </c>
      <c r="F35" s="18">
        <f>475+250+475+475+300+275</f>
        <v>2250</v>
      </c>
      <c r="G35" s="18">
        <f>475</f>
        <v>475</v>
      </c>
      <c r="H35" s="3"/>
      <c r="I35" s="3"/>
    </row>
    <row r="36" spans="1:9" ht="15" customHeight="1">
      <c r="A36" s="16">
        <v>27</v>
      </c>
      <c r="B36" s="17" t="s">
        <v>49</v>
      </c>
      <c r="C36" s="18">
        <f t="shared" si="0"/>
        <v>2650</v>
      </c>
      <c r="D36" s="18">
        <v>0</v>
      </c>
      <c r="E36" s="18">
        <f>225</f>
        <v>225</v>
      </c>
      <c r="F36" s="18">
        <f>425+475+160+115</f>
        <v>1175</v>
      </c>
      <c r="G36" s="18">
        <f>200+575+475</f>
        <v>1250</v>
      </c>
      <c r="H36" s="3"/>
      <c r="I36" s="3"/>
    </row>
    <row r="37" spans="1:9" ht="15" customHeight="1">
      <c r="A37" s="16">
        <v>28</v>
      </c>
      <c r="B37" s="17" t="s">
        <v>33</v>
      </c>
      <c r="C37" s="18">
        <f t="shared" si="0"/>
        <v>2635</v>
      </c>
      <c r="D37" s="18">
        <v>0</v>
      </c>
      <c r="E37" s="18">
        <f>475+475</f>
        <v>950</v>
      </c>
      <c r="F37" s="18">
        <f>325+160</f>
        <v>485</v>
      </c>
      <c r="G37" s="18">
        <f>475+425+300</f>
        <v>1200</v>
      </c>
      <c r="H37" s="3"/>
      <c r="I37" s="3"/>
    </row>
    <row r="38" spans="1:9" ht="15" customHeight="1">
      <c r="A38" s="16">
        <v>29</v>
      </c>
      <c r="B38" s="17" t="s">
        <v>28</v>
      </c>
      <c r="C38" s="18">
        <f t="shared" si="0"/>
        <v>2535</v>
      </c>
      <c r="D38" s="18">
        <v>0</v>
      </c>
      <c r="E38" s="18">
        <f>575+325+275+375</f>
        <v>1550</v>
      </c>
      <c r="F38" s="18">
        <f>115</f>
        <v>115</v>
      </c>
      <c r="G38" s="18">
        <f>300+425+145</f>
        <v>870</v>
      </c>
      <c r="H38" s="3"/>
      <c r="I38" s="3"/>
    </row>
    <row r="39" spans="1:9" ht="15" customHeight="1">
      <c r="A39" s="16">
        <v>30</v>
      </c>
      <c r="B39" s="17" t="s">
        <v>43</v>
      </c>
      <c r="C39" s="18">
        <f t="shared" si="0"/>
        <v>2505</v>
      </c>
      <c r="D39" s="18">
        <v>325</v>
      </c>
      <c r="E39" s="18">
        <f>575+375</f>
        <v>950</v>
      </c>
      <c r="F39" s="18">
        <f>325+575+130</f>
        <v>1030</v>
      </c>
      <c r="G39" s="18">
        <f>200</f>
        <v>200</v>
      </c>
      <c r="H39" s="3"/>
      <c r="I39" s="3"/>
    </row>
    <row r="40" spans="1:9" ht="15" customHeight="1">
      <c r="A40" s="16">
        <v>31</v>
      </c>
      <c r="B40" s="17" t="s">
        <v>32</v>
      </c>
      <c r="C40" s="18">
        <f t="shared" si="0"/>
        <v>2500</v>
      </c>
      <c r="D40" s="18">
        <v>0</v>
      </c>
      <c r="E40" s="18">
        <f>575+300</f>
        <v>875</v>
      </c>
      <c r="F40" s="18">
        <f>275+275+475+375</f>
        <v>1400</v>
      </c>
      <c r="G40" s="18">
        <f>225</f>
        <v>225</v>
      </c>
      <c r="H40" s="3"/>
      <c r="I40" s="3"/>
    </row>
    <row r="41" spans="1:9" ht="15" customHeight="1">
      <c r="A41" s="16">
        <v>32</v>
      </c>
      <c r="B41" s="17" t="s">
        <v>6</v>
      </c>
      <c r="C41" s="18">
        <f t="shared" si="0"/>
        <v>2465</v>
      </c>
      <c r="D41" s="18">
        <v>115</v>
      </c>
      <c r="E41" s="18">
        <f>300+475+250+350+200</f>
        <v>1575</v>
      </c>
      <c r="F41" s="18">
        <f>275</f>
        <v>275</v>
      </c>
      <c r="G41" s="18">
        <f>325+175</f>
        <v>500</v>
      </c>
      <c r="H41" s="3"/>
      <c r="I41" s="3"/>
    </row>
    <row r="42" spans="1:9" ht="15" customHeight="1">
      <c r="A42" s="20">
        <v>33</v>
      </c>
      <c r="B42" s="21" t="s">
        <v>18</v>
      </c>
      <c r="C42" s="22">
        <f t="shared" si="0"/>
        <v>2450</v>
      </c>
      <c r="D42" s="22">
        <v>350</v>
      </c>
      <c r="E42" s="22">
        <f>250+300</f>
        <v>550</v>
      </c>
      <c r="F42" s="22">
        <f>300+325+225</f>
        <v>850</v>
      </c>
      <c r="G42" s="22">
        <f>225+275+200</f>
        <v>700</v>
      </c>
      <c r="H42" s="3"/>
      <c r="I42" s="3"/>
    </row>
    <row r="43" spans="1:9" ht="15" customHeight="1">
      <c r="A43" s="20">
        <v>34</v>
      </c>
      <c r="B43" s="20" t="s">
        <v>62</v>
      </c>
      <c r="C43" s="22">
        <f t="shared" si="0"/>
        <v>2390</v>
      </c>
      <c r="D43" s="22">
        <v>0</v>
      </c>
      <c r="E43" s="22">
        <f>425</f>
        <v>425</v>
      </c>
      <c r="F43" s="22">
        <f>175+275+300+115+200</f>
        <v>1065</v>
      </c>
      <c r="G43" s="22">
        <f>300+425+175</f>
        <v>900</v>
      </c>
      <c r="H43" s="3"/>
      <c r="I43" s="3"/>
    </row>
    <row r="44" spans="1:7" ht="15" customHeight="1">
      <c r="A44" s="20">
        <v>35</v>
      </c>
      <c r="B44" s="21" t="s">
        <v>20</v>
      </c>
      <c r="C44" s="22">
        <f t="shared" si="0"/>
        <v>2335</v>
      </c>
      <c r="D44" s="22">
        <v>130</v>
      </c>
      <c r="E44" s="22">
        <f>475+225+350+375+325</f>
        <v>1750</v>
      </c>
      <c r="F44" s="22">
        <f>325</f>
        <v>325</v>
      </c>
      <c r="G44" s="22">
        <f>130</f>
        <v>130</v>
      </c>
    </row>
    <row r="45" spans="1:7" ht="15" customHeight="1">
      <c r="A45" s="20">
        <v>36</v>
      </c>
      <c r="B45" s="21" t="s">
        <v>118</v>
      </c>
      <c r="C45" s="22">
        <f t="shared" si="0"/>
        <v>2300</v>
      </c>
      <c r="D45" s="22">
        <v>0</v>
      </c>
      <c r="E45" s="22">
        <v>0</v>
      </c>
      <c r="F45" s="22">
        <f>425+200+475</f>
        <v>1100</v>
      </c>
      <c r="G45" s="22">
        <f>300+575+325</f>
        <v>1200</v>
      </c>
    </row>
    <row r="46" spans="1:7" ht="15" customHeight="1">
      <c r="A46" s="20">
        <v>37</v>
      </c>
      <c r="B46" s="21" t="s">
        <v>30</v>
      </c>
      <c r="C46" s="22">
        <f t="shared" si="0"/>
        <v>2270</v>
      </c>
      <c r="D46" s="22">
        <v>0</v>
      </c>
      <c r="E46" s="22">
        <f>350+275+115+425</f>
        <v>1165</v>
      </c>
      <c r="F46" s="22">
        <f>475</f>
        <v>475</v>
      </c>
      <c r="G46" s="22">
        <f>145+225+145+115</f>
        <v>630</v>
      </c>
    </row>
    <row r="47" spans="1:7" ht="15" customHeight="1">
      <c r="A47" s="20">
        <v>38</v>
      </c>
      <c r="B47" s="21" t="s">
        <v>180</v>
      </c>
      <c r="C47" s="22">
        <f t="shared" si="0"/>
        <v>2270</v>
      </c>
      <c r="D47" s="22">
        <v>0</v>
      </c>
      <c r="E47" s="22">
        <v>0</v>
      </c>
      <c r="F47" s="22">
        <v>0</v>
      </c>
      <c r="G47" s="22">
        <f>575+175+225+350+130+350+145+175+145</f>
        <v>2270</v>
      </c>
    </row>
    <row r="48" spans="1:7" ht="15" customHeight="1">
      <c r="A48" s="20">
        <v>39</v>
      </c>
      <c r="B48" s="21" t="s">
        <v>172</v>
      </c>
      <c r="C48" s="22">
        <f t="shared" si="0"/>
        <v>2225</v>
      </c>
      <c r="D48" s="22">
        <v>0</v>
      </c>
      <c r="E48" s="22">
        <v>0</v>
      </c>
      <c r="F48" s="22">
        <f>575</f>
        <v>575</v>
      </c>
      <c r="G48" s="22">
        <f>475+475+375+325</f>
        <v>1650</v>
      </c>
    </row>
    <row r="49" spans="1:7" ht="15" customHeight="1">
      <c r="A49" s="20">
        <v>40</v>
      </c>
      <c r="B49" s="21" t="s">
        <v>135</v>
      </c>
      <c r="C49" s="22">
        <f t="shared" si="0"/>
        <v>2190</v>
      </c>
      <c r="D49" s="22">
        <v>0</v>
      </c>
      <c r="E49" s="22">
        <v>0</v>
      </c>
      <c r="F49" s="22">
        <f>475+350</f>
        <v>825</v>
      </c>
      <c r="G49" s="22">
        <f>325+575+350+115</f>
        <v>1365</v>
      </c>
    </row>
    <row r="50" spans="1:7" ht="15" customHeight="1">
      <c r="A50" s="20">
        <v>41</v>
      </c>
      <c r="B50" s="21" t="s">
        <v>67</v>
      </c>
      <c r="C50" s="22">
        <f t="shared" si="0"/>
        <v>2085</v>
      </c>
      <c r="D50" s="22">
        <v>0</v>
      </c>
      <c r="E50" s="22">
        <f>160</f>
        <v>160</v>
      </c>
      <c r="F50" s="22">
        <v>0</v>
      </c>
      <c r="G50" s="22">
        <f>575+575+475+300</f>
        <v>1925</v>
      </c>
    </row>
    <row r="51" spans="1:7" ht="15" customHeight="1">
      <c r="A51" s="20">
        <v>42</v>
      </c>
      <c r="B51" s="21" t="s">
        <v>115</v>
      </c>
      <c r="C51" s="22">
        <f t="shared" si="0"/>
        <v>2075</v>
      </c>
      <c r="D51" s="22">
        <v>0</v>
      </c>
      <c r="E51" s="22">
        <v>0</v>
      </c>
      <c r="F51" s="22">
        <f>250+200+300+575</f>
        <v>1325</v>
      </c>
      <c r="G51" s="22">
        <f>575+175</f>
        <v>750</v>
      </c>
    </row>
    <row r="52" spans="1:7" ht="15" customHeight="1">
      <c r="A52" s="20">
        <v>43</v>
      </c>
      <c r="B52" s="21" t="s">
        <v>36</v>
      </c>
      <c r="C52" s="22">
        <f t="shared" si="0"/>
        <v>2055</v>
      </c>
      <c r="D52" s="22">
        <v>300</v>
      </c>
      <c r="E52" s="22">
        <f>225+475</f>
        <v>700</v>
      </c>
      <c r="F52" s="22">
        <f>350</f>
        <v>350</v>
      </c>
      <c r="G52" s="22">
        <f>575+130</f>
        <v>705</v>
      </c>
    </row>
    <row r="53" spans="1:7" ht="15" customHeight="1">
      <c r="A53" s="14"/>
      <c r="B53" s="15" t="s">
        <v>12</v>
      </c>
      <c r="C53" s="4">
        <f t="shared" si="0"/>
        <v>1985</v>
      </c>
      <c r="D53" s="4">
        <v>0</v>
      </c>
      <c r="E53" s="4">
        <f>275+175+575</f>
        <v>1025</v>
      </c>
      <c r="F53" s="4">
        <f>475</f>
        <v>475</v>
      </c>
      <c r="G53" s="4">
        <f>325+160</f>
        <v>485</v>
      </c>
    </row>
    <row r="54" spans="1:7" ht="15" customHeight="1">
      <c r="A54" s="14"/>
      <c r="B54" s="15" t="s">
        <v>107</v>
      </c>
      <c r="C54" s="4">
        <f t="shared" si="0"/>
        <v>1975</v>
      </c>
      <c r="D54" s="4">
        <v>0</v>
      </c>
      <c r="E54" s="4">
        <v>0</v>
      </c>
      <c r="F54" s="4">
        <f>575+575+350+275+200</f>
        <v>1975</v>
      </c>
      <c r="G54" s="4">
        <v>0</v>
      </c>
    </row>
    <row r="55" spans="1:7" ht="15" customHeight="1">
      <c r="A55" s="14"/>
      <c r="B55" s="15" t="s">
        <v>47</v>
      </c>
      <c r="C55" s="4">
        <f t="shared" si="0"/>
        <v>1975</v>
      </c>
      <c r="D55" s="4">
        <v>200</v>
      </c>
      <c r="E55" s="4">
        <f>225+375+325</f>
        <v>925</v>
      </c>
      <c r="F55" s="4">
        <f>225+250</f>
        <v>475</v>
      </c>
      <c r="G55" s="4">
        <f>375</f>
        <v>375</v>
      </c>
    </row>
    <row r="56" spans="1:7" ht="15" customHeight="1">
      <c r="A56" s="14"/>
      <c r="B56" s="15" t="s">
        <v>42</v>
      </c>
      <c r="C56" s="4">
        <f t="shared" si="0"/>
        <v>1865</v>
      </c>
      <c r="D56" s="4">
        <v>475</v>
      </c>
      <c r="E56" s="4">
        <f>425+200+130+130+200</f>
        <v>1085</v>
      </c>
      <c r="F56" s="4">
        <f>130</f>
        <v>130</v>
      </c>
      <c r="G56" s="4">
        <f>175</f>
        <v>175</v>
      </c>
    </row>
    <row r="57" spans="1:7" ht="15" customHeight="1">
      <c r="A57" s="14"/>
      <c r="B57" s="15" t="s">
        <v>94</v>
      </c>
      <c r="C57" s="4">
        <f t="shared" si="0"/>
        <v>1820</v>
      </c>
      <c r="D57" s="4">
        <v>0</v>
      </c>
      <c r="E57" s="4">
        <v>250</v>
      </c>
      <c r="F57" s="4">
        <f>225+175+145+425+250</f>
        <v>1220</v>
      </c>
      <c r="G57" s="4">
        <f>175+175</f>
        <v>350</v>
      </c>
    </row>
    <row r="58" spans="1:7" ht="15" customHeight="1">
      <c r="A58" s="14"/>
      <c r="B58" s="15" t="s">
        <v>22</v>
      </c>
      <c r="C58" s="4">
        <f t="shared" si="0"/>
        <v>1735</v>
      </c>
      <c r="D58" s="4">
        <v>0</v>
      </c>
      <c r="E58" s="4">
        <f>200+250+130</f>
        <v>580</v>
      </c>
      <c r="F58" s="4">
        <f>300+275+175+130</f>
        <v>880</v>
      </c>
      <c r="G58" s="4">
        <f>275</f>
        <v>275</v>
      </c>
    </row>
    <row r="59" spans="1:7" ht="15" customHeight="1">
      <c r="A59" s="14"/>
      <c r="B59" s="15" t="s">
        <v>173</v>
      </c>
      <c r="C59" s="4">
        <f t="shared" si="0"/>
        <v>1725</v>
      </c>
      <c r="D59" s="4">
        <v>0</v>
      </c>
      <c r="E59" s="4">
        <v>0</v>
      </c>
      <c r="F59" s="4">
        <f>475</f>
        <v>475</v>
      </c>
      <c r="G59" s="4">
        <f>475+425+350</f>
        <v>1250</v>
      </c>
    </row>
    <row r="60" spans="1:7" ht="15" customHeight="1">
      <c r="A60" s="14"/>
      <c r="B60" s="15" t="s">
        <v>90</v>
      </c>
      <c r="C60" s="4">
        <f t="shared" si="0"/>
        <v>1715</v>
      </c>
      <c r="D60" s="4">
        <v>0</v>
      </c>
      <c r="E60" s="4">
        <f>275</f>
        <v>275</v>
      </c>
      <c r="F60" s="4">
        <f>160+250+275</f>
        <v>685</v>
      </c>
      <c r="G60" s="4">
        <f>160+200+145+250</f>
        <v>755</v>
      </c>
    </row>
    <row r="61" spans="1:7" ht="15" customHeight="1">
      <c r="A61" s="14"/>
      <c r="B61" s="15" t="s">
        <v>127</v>
      </c>
      <c r="C61" s="4">
        <f t="shared" si="0"/>
        <v>1655</v>
      </c>
      <c r="D61" s="4">
        <v>0</v>
      </c>
      <c r="E61" s="4">
        <v>0</v>
      </c>
      <c r="F61" s="4">
        <f>375+130</f>
        <v>505</v>
      </c>
      <c r="G61" s="4">
        <f>575+250+325</f>
        <v>1150</v>
      </c>
    </row>
    <row r="62" spans="1:7" ht="15" customHeight="1">
      <c r="A62" s="14"/>
      <c r="B62" s="15" t="s">
        <v>17</v>
      </c>
      <c r="C62" s="4">
        <f t="shared" si="0"/>
        <v>1645</v>
      </c>
      <c r="D62" s="4">
        <v>0</v>
      </c>
      <c r="E62" s="4">
        <f>325+225+375</f>
        <v>925</v>
      </c>
      <c r="F62" s="4">
        <f>145</f>
        <v>145</v>
      </c>
      <c r="G62" s="4">
        <f>575</f>
        <v>575</v>
      </c>
    </row>
    <row r="63" spans="1:7" ht="15" customHeight="1">
      <c r="A63" s="14"/>
      <c r="B63" s="15" t="s">
        <v>120</v>
      </c>
      <c r="C63" s="4">
        <f t="shared" si="0"/>
        <v>1625</v>
      </c>
      <c r="D63" s="4">
        <v>0</v>
      </c>
      <c r="E63" s="4">
        <v>0</v>
      </c>
      <c r="F63" s="4">
        <f>575+300+225+225</f>
        <v>1325</v>
      </c>
      <c r="G63" s="4">
        <f>300</f>
        <v>300</v>
      </c>
    </row>
    <row r="64" spans="1:7" ht="15" customHeight="1">
      <c r="A64" s="14"/>
      <c r="B64" s="15" t="s">
        <v>200</v>
      </c>
      <c r="C64" s="4">
        <f t="shared" si="0"/>
        <v>1600</v>
      </c>
      <c r="D64" s="4">
        <v>0</v>
      </c>
      <c r="E64" s="4">
        <v>0</v>
      </c>
      <c r="F64" s="4">
        <v>0</v>
      </c>
      <c r="G64" s="4">
        <f>225+325+575+475</f>
        <v>1600</v>
      </c>
    </row>
    <row r="65" spans="1:7" ht="15" customHeight="1">
      <c r="A65" s="14"/>
      <c r="B65" s="15" t="s">
        <v>65</v>
      </c>
      <c r="C65" s="4">
        <f t="shared" si="0"/>
        <v>1575</v>
      </c>
      <c r="D65" s="4">
        <v>0</v>
      </c>
      <c r="E65" s="4">
        <f>300+275+425+575</f>
        <v>1575</v>
      </c>
      <c r="F65" s="4">
        <v>0</v>
      </c>
      <c r="G65" s="4">
        <v>0</v>
      </c>
    </row>
    <row r="66" spans="1:7" ht="15" customHeight="1">
      <c r="A66" s="14"/>
      <c r="B66" s="14" t="s">
        <v>73</v>
      </c>
      <c r="C66" s="4">
        <f t="shared" si="0"/>
        <v>1560</v>
      </c>
      <c r="D66" s="4">
        <v>0</v>
      </c>
      <c r="E66" s="4">
        <f>375</f>
        <v>375</v>
      </c>
      <c r="F66" s="4">
        <f>250+575</f>
        <v>825</v>
      </c>
      <c r="G66" s="4">
        <f>200+160</f>
        <v>360</v>
      </c>
    </row>
    <row r="67" spans="1:7" ht="15" customHeight="1">
      <c r="A67" s="14"/>
      <c r="B67" s="15" t="s">
        <v>45</v>
      </c>
      <c r="C67" s="4">
        <f t="shared" si="0"/>
        <v>1475</v>
      </c>
      <c r="D67" s="4">
        <v>225</v>
      </c>
      <c r="E67" s="4">
        <f>175+475</f>
        <v>650</v>
      </c>
      <c r="F67" s="4">
        <v>0</v>
      </c>
      <c r="G67" s="4">
        <f>275+325</f>
        <v>600</v>
      </c>
    </row>
    <row r="68" spans="1:7" ht="15" customHeight="1">
      <c r="A68" s="14"/>
      <c r="B68" s="15" t="s">
        <v>117</v>
      </c>
      <c r="C68" s="4">
        <f t="shared" si="0"/>
        <v>1415</v>
      </c>
      <c r="D68" s="4">
        <v>0</v>
      </c>
      <c r="E68" s="4">
        <v>0</v>
      </c>
      <c r="F68" s="4">
        <f>115+200+130</f>
        <v>445</v>
      </c>
      <c r="G68" s="4">
        <f>475+350+145</f>
        <v>970</v>
      </c>
    </row>
    <row r="69" spans="1:7" ht="15" customHeight="1">
      <c r="A69" s="14"/>
      <c r="B69" s="15" t="s">
        <v>70</v>
      </c>
      <c r="C69" s="4">
        <f t="shared" si="0"/>
        <v>1395</v>
      </c>
      <c r="D69" s="4">
        <v>0</v>
      </c>
      <c r="E69" s="4">
        <f>145+300+575</f>
        <v>1020</v>
      </c>
      <c r="F69" s="4">
        <f>200</f>
        <v>200</v>
      </c>
      <c r="G69" s="4">
        <f>175</f>
        <v>175</v>
      </c>
    </row>
    <row r="70" spans="1:7" ht="15" customHeight="1">
      <c r="A70" s="14"/>
      <c r="B70" s="15" t="s">
        <v>63</v>
      </c>
      <c r="C70" s="4">
        <f t="shared" si="0"/>
        <v>1315</v>
      </c>
      <c r="D70" s="4">
        <v>0</v>
      </c>
      <c r="E70" s="4">
        <f>375</f>
        <v>375</v>
      </c>
      <c r="F70" s="4">
        <f>575</f>
        <v>575</v>
      </c>
      <c r="G70" s="4">
        <f>250+115</f>
        <v>365</v>
      </c>
    </row>
    <row r="71" spans="1:7" ht="15" customHeight="1">
      <c r="A71" s="14"/>
      <c r="B71" s="15" t="s">
        <v>204</v>
      </c>
      <c r="C71" s="4">
        <f t="shared" si="0"/>
        <v>1310</v>
      </c>
      <c r="D71" s="4">
        <v>0</v>
      </c>
      <c r="E71" s="4">
        <v>0</v>
      </c>
      <c r="F71" s="4">
        <v>0</v>
      </c>
      <c r="G71" s="4">
        <f>300+160+475+375</f>
        <v>1310</v>
      </c>
    </row>
    <row r="72" spans="1:7" ht="15" customHeight="1">
      <c r="A72" s="14"/>
      <c r="B72" s="15" t="s">
        <v>69</v>
      </c>
      <c r="C72" s="4">
        <f t="shared" si="0"/>
        <v>1305</v>
      </c>
      <c r="D72" s="4">
        <v>0</v>
      </c>
      <c r="E72" s="4">
        <f>325+225</f>
        <v>550</v>
      </c>
      <c r="F72" s="4">
        <f>250</f>
        <v>250</v>
      </c>
      <c r="G72" s="4">
        <f>115+115+275</f>
        <v>505</v>
      </c>
    </row>
    <row r="73" spans="1:7" ht="15" customHeight="1">
      <c r="A73" s="14"/>
      <c r="B73" s="15" t="s">
        <v>175</v>
      </c>
      <c r="C73" s="4">
        <f aca="true" t="shared" si="1" ref="C73:C136">D73+E73+F73+G73</f>
        <v>1290</v>
      </c>
      <c r="D73" s="4">
        <v>0</v>
      </c>
      <c r="E73" s="4">
        <v>0</v>
      </c>
      <c r="F73" s="4">
        <f>375</f>
        <v>375</v>
      </c>
      <c r="G73" s="4">
        <f>200+115+350+250</f>
        <v>915</v>
      </c>
    </row>
    <row r="74" spans="1:7" ht="15" customHeight="1">
      <c r="A74" s="14"/>
      <c r="B74" s="15" t="s">
        <v>134</v>
      </c>
      <c r="C74" s="4">
        <f t="shared" si="1"/>
        <v>1225</v>
      </c>
      <c r="D74" s="4">
        <v>0</v>
      </c>
      <c r="E74" s="4">
        <v>0</v>
      </c>
      <c r="F74" s="4">
        <f>575+275</f>
        <v>850</v>
      </c>
      <c r="G74" s="4">
        <f>375</f>
        <v>375</v>
      </c>
    </row>
    <row r="75" spans="1:7" ht="15" customHeight="1">
      <c r="A75" s="14"/>
      <c r="B75" s="15" t="s">
        <v>195</v>
      </c>
      <c r="C75" s="4">
        <f t="shared" si="1"/>
        <v>1225</v>
      </c>
      <c r="D75" s="4">
        <v>0</v>
      </c>
      <c r="E75" s="4">
        <v>0</v>
      </c>
      <c r="F75" s="4">
        <f>375</f>
        <v>375</v>
      </c>
      <c r="G75" s="4">
        <f>475+375</f>
        <v>850</v>
      </c>
    </row>
    <row r="76" spans="1:7" ht="15" customHeight="1">
      <c r="A76" s="14"/>
      <c r="B76" s="15" t="s">
        <v>198</v>
      </c>
      <c r="C76" s="4">
        <f t="shared" si="1"/>
        <v>1200</v>
      </c>
      <c r="D76" s="4">
        <v>0</v>
      </c>
      <c r="E76" s="4">
        <v>0</v>
      </c>
      <c r="F76" s="4">
        <v>0</v>
      </c>
      <c r="G76" s="4">
        <f>250+375+575</f>
        <v>1200</v>
      </c>
    </row>
    <row r="77" spans="1:7" ht="15" customHeight="1">
      <c r="A77" s="14"/>
      <c r="B77" s="15" t="s">
        <v>92</v>
      </c>
      <c r="C77" s="4">
        <f t="shared" si="1"/>
        <v>1175</v>
      </c>
      <c r="D77" s="4">
        <v>0</v>
      </c>
      <c r="E77" s="4">
        <v>275</v>
      </c>
      <c r="F77" s="4">
        <f>575+325</f>
        <v>900</v>
      </c>
      <c r="G77" s="4">
        <v>0</v>
      </c>
    </row>
    <row r="78" spans="1:7" ht="15" customHeight="1">
      <c r="A78" s="14"/>
      <c r="B78" s="15" t="s">
        <v>151</v>
      </c>
      <c r="C78" s="4">
        <f t="shared" si="1"/>
        <v>1125</v>
      </c>
      <c r="D78" s="4">
        <v>0</v>
      </c>
      <c r="E78" s="4">
        <v>0</v>
      </c>
      <c r="F78" s="4">
        <f>425</f>
        <v>425</v>
      </c>
      <c r="G78" s="4">
        <f>350+350</f>
        <v>700</v>
      </c>
    </row>
    <row r="79" spans="1:7" ht="15" customHeight="1">
      <c r="A79" s="14"/>
      <c r="B79" s="15" t="s">
        <v>129</v>
      </c>
      <c r="C79" s="4">
        <f t="shared" si="1"/>
        <v>1120</v>
      </c>
      <c r="D79" s="4">
        <v>0</v>
      </c>
      <c r="E79" s="4">
        <v>0</v>
      </c>
      <c r="F79" s="4">
        <f>250+375+350+145</f>
        <v>1120</v>
      </c>
      <c r="G79" s="4">
        <v>0</v>
      </c>
    </row>
    <row r="80" spans="1:7" ht="15" customHeight="1">
      <c r="A80" s="14"/>
      <c r="B80" s="15" t="s">
        <v>77</v>
      </c>
      <c r="C80" s="4">
        <f t="shared" si="1"/>
        <v>1110</v>
      </c>
      <c r="D80" s="4">
        <v>0</v>
      </c>
      <c r="E80" s="4">
        <f>160</f>
        <v>160</v>
      </c>
      <c r="F80" s="4">
        <f>350</f>
        <v>350</v>
      </c>
      <c r="G80" s="4">
        <f>325+275</f>
        <v>600</v>
      </c>
    </row>
    <row r="81" spans="1:7" ht="15" customHeight="1">
      <c r="A81" s="14"/>
      <c r="B81" s="15" t="s">
        <v>23</v>
      </c>
      <c r="C81" s="4">
        <f t="shared" si="1"/>
        <v>1060</v>
      </c>
      <c r="D81" s="4">
        <v>0</v>
      </c>
      <c r="E81" s="4">
        <f>130+200+250+130</f>
        <v>710</v>
      </c>
      <c r="F81" s="4">
        <f>350</f>
        <v>350</v>
      </c>
      <c r="G81" s="4">
        <v>0</v>
      </c>
    </row>
    <row r="82" spans="1:7" ht="15" customHeight="1">
      <c r="A82" s="14"/>
      <c r="B82" s="15" t="s">
        <v>97</v>
      </c>
      <c r="C82" s="4">
        <f t="shared" si="1"/>
        <v>1040</v>
      </c>
      <c r="D82" s="4">
        <v>0</v>
      </c>
      <c r="E82" s="4">
        <v>0</v>
      </c>
      <c r="F82" s="4">
        <f>375+115</f>
        <v>490</v>
      </c>
      <c r="G82" s="4">
        <f>375+175</f>
        <v>550</v>
      </c>
    </row>
    <row r="83" spans="1:7" ht="15" customHeight="1">
      <c r="A83" s="14"/>
      <c r="B83" s="15" t="s">
        <v>124</v>
      </c>
      <c r="C83" s="4">
        <f t="shared" si="1"/>
        <v>1025</v>
      </c>
      <c r="D83" s="4">
        <v>0</v>
      </c>
      <c r="E83" s="4">
        <v>0</v>
      </c>
      <c r="F83" s="4">
        <f>575+225</f>
        <v>800</v>
      </c>
      <c r="G83" s="4">
        <f>225</f>
        <v>225</v>
      </c>
    </row>
    <row r="84" spans="1:7" ht="15" customHeight="1">
      <c r="A84" s="14"/>
      <c r="B84" s="15" t="s">
        <v>197</v>
      </c>
      <c r="C84" s="4">
        <f t="shared" si="1"/>
        <v>1025</v>
      </c>
      <c r="D84" s="4">
        <v>0</v>
      </c>
      <c r="E84" s="4">
        <v>0</v>
      </c>
      <c r="F84" s="4">
        <v>0</v>
      </c>
      <c r="G84" s="4">
        <f>325+275+425</f>
        <v>1025</v>
      </c>
    </row>
    <row r="85" spans="1:7" ht="15" customHeight="1">
      <c r="A85" s="14"/>
      <c r="B85" s="15" t="s">
        <v>101</v>
      </c>
      <c r="C85" s="4">
        <f t="shared" si="1"/>
        <v>1010</v>
      </c>
      <c r="D85" s="4">
        <v>0</v>
      </c>
      <c r="E85" s="4">
        <v>0</v>
      </c>
      <c r="F85" s="4">
        <f>375+160</f>
        <v>535</v>
      </c>
      <c r="G85" s="4">
        <f>475</f>
        <v>475</v>
      </c>
    </row>
    <row r="86" spans="1:7" ht="15" customHeight="1">
      <c r="A86" s="14"/>
      <c r="B86" s="15" t="s">
        <v>16</v>
      </c>
      <c r="C86" s="4">
        <f t="shared" si="1"/>
        <v>1000</v>
      </c>
      <c r="D86" s="4">
        <v>575</v>
      </c>
      <c r="E86" s="4">
        <v>0</v>
      </c>
      <c r="F86" s="4">
        <f>425</f>
        <v>425</v>
      </c>
      <c r="G86" s="4">
        <v>0</v>
      </c>
    </row>
    <row r="87" spans="1:7" ht="15" customHeight="1">
      <c r="A87" s="14"/>
      <c r="B87" s="15" t="s">
        <v>110</v>
      </c>
      <c r="C87" s="4">
        <f t="shared" si="1"/>
        <v>960</v>
      </c>
      <c r="D87" s="4">
        <v>0</v>
      </c>
      <c r="E87" s="4">
        <v>0</v>
      </c>
      <c r="F87" s="4">
        <f>375+160+425</f>
        <v>960</v>
      </c>
      <c r="G87" s="4">
        <v>0</v>
      </c>
    </row>
    <row r="88" spans="1:7" ht="15" customHeight="1">
      <c r="A88" s="14"/>
      <c r="B88" s="15" t="s">
        <v>220</v>
      </c>
      <c r="C88" s="4">
        <f t="shared" si="1"/>
        <v>950</v>
      </c>
      <c r="D88" s="4">
        <v>0</v>
      </c>
      <c r="E88" s="4">
        <v>0</v>
      </c>
      <c r="F88" s="4">
        <v>0</v>
      </c>
      <c r="G88" s="4">
        <f>375+575</f>
        <v>950</v>
      </c>
    </row>
    <row r="89" spans="1:7" ht="15" customHeight="1">
      <c r="A89" s="14"/>
      <c r="B89" s="15" t="s">
        <v>19</v>
      </c>
      <c r="C89" s="4">
        <f t="shared" si="1"/>
        <v>950</v>
      </c>
      <c r="D89" s="4">
        <v>0</v>
      </c>
      <c r="E89" s="4">
        <f>250+475</f>
        <v>725</v>
      </c>
      <c r="F89" s="4">
        <f>225</f>
        <v>225</v>
      </c>
      <c r="G89" s="4">
        <v>0</v>
      </c>
    </row>
    <row r="90" spans="1:7" ht="15" customHeight="1">
      <c r="A90" s="14"/>
      <c r="B90" s="14" t="s">
        <v>56</v>
      </c>
      <c r="C90" s="4">
        <f t="shared" si="1"/>
        <v>930</v>
      </c>
      <c r="D90" s="4">
        <v>0</v>
      </c>
      <c r="E90" s="4">
        <f>375+425</f>
        <v>800</v>
      </c>
      <c r="F90" s="4">
        <v>0</v>
      </c>
      <c r="G90" s="4">
        <f>130</f>
        <v>130</v>
      </c>
    </row>
    <row r="91" spans="1:7" ht="15" customHeight="1">
      <c r="A91" s="14"/>
      <c r="B91" s="15" t="s">
        <v>79</v>
      </c>
      <c r="C91" s="4">
        <f t="shared" si="1"/>
        <v>910</v>
      </c>
      <c r="D91" s="4">
        <v>0</v>
      </c>
      <c r="E91" s="4">
        <f>225</f>
        <v>225</v>
      </c>
      <c r="F91" s="4">
        <v>0</v>
      </c>
      <c r="G91" s="4">
        <f>325+115+130+115</f>
        <v>685</v>
      </c>
    </row>
    <row r="92" spans="1:7" ht="15" customHeight="1">
      <c r="A92" s="14"/>
      <c r="B92" s="15" t="s">
        <v>156</v>
      </c>
      <c r="C92" s="4">
        <f t="shared" si="1"/>
        <v>890</v>
      </c>
      <c r="D92" s="4">
        <v>0</v>
      </c>
      <c r="E92" s="4">
        <v>0</v>
      </c>
      <c r="F92" s="4">
        <f>115</f>
        <v>115</v>
      </c>
      <c r="G92" s="4">
        <f>425+350</f>
        <v>775</v>
      </c>
    </row>
    <row r="93" spans="1:7" ht="15" customHeight="1">
      <c r="A93" s="14"/>
      <c r="B93" s="15" t="s">
        <v>88</v>
      </c>
      <c r="C93" s="4">
        <f t="shared" si="1"/>
        <v>875</v>
      </c>
      <c r="D93" s="4">
        <v>0</v>
      </c>
      <c r="E93" s="4">
        <f>300</f>
        <v>300</v>
      </c>
      <c r="F93" s="4">
        <f>350+225</f>
        <v>575</v>
      </c>
      <c r="G93" s="4">
        <v>0</v>
      </c>
    </row>
    <row r="94" spans="1:7" ht="15" customHeight="1">
      <c r="A94" s="14"/>
      <c r="B94" s="15" t="s">
        <v>185</v>
      </c>
      <c r="C94" s="4">
        <f t="shared" si="1"/>
        <v>850</v>
      </c>
      <c r="D94" s="4">
        <v>0</v>
      </c>
      <c r="E94" s="4">
        <v>0</v>
      </c>
      <c r="F94" s="4">
        <v>0</v>
      </c>
      <c r="G94" s="4">
        <f>375+475</f>
        <v>850</v>
      </c>
    </row>
    <row r="95" spans="1:7" ht="15" customHeight="1">
      <c r="A95" s="14"/>
      <c r="B95" s="15" t="s">
        <v>196</v>
      </c>
      <c r="C95" s="4">
        <f t="shared" si="1"/>
        <v>850</v>
      </c>
      <c r="D95" s="4">
        <v>0</v>
      </c>
      <c r="E95" s="4">
        <v>0</v>
      </c>
      <c r="F95" s="4">
        <v>0</v>
      </c>
      <c r="G95" s="4">
        <f>375+475</f>
        <v>850</v>
      </c>
    </row>
    <row r="96" spans="1:7" ht="15" customHeight="1">
      <c r="A96" s="14"/>
      <c r="B96" s="15" t="s">
        <v>152</v>
      </c>
      <c r="C96" s="4">
        <f t="shared" si="1"/>
        <v>840</v>
      </c>
      <c r="D96" s="4">
        <v>0</v>
      </c>
      <c r="E96" s="4">
        <v>0</v>
      </c>
      <c r="F96" s="4">
        <f>300+115</f>
        <v>415</v>
      </c>
      <c r="G96" s="4">
        <f>425</f>
        <v>425</v>
      </c>
    </row>
    <row r="97" spans="1:7" ht="15" customHeight="1">
      <c r="A97" s="14"/>
      <c r="B97" s="15" t="s">
        <v>146</v>
      </c>
      <c r="C97" s="4">
        <f t="shared" si="1"/>
        <v>825</v>
      </c>
      <c r="D97" s="4">
        <v>0</v>
      </c>
      <c r="E97" s="4">
        <v>0</v>
      </c>
      <c r="F97" s="4">
        <f>425</f>
        <v>425</v>
      </c>
      <c r="G97" s="4">
        <f>200+200</f>
        <v>400</v>
      </c>
    </row>
    <row r="98" spans="1:7" ht="15" customHeight="1">
      <c r="A98" s="14"/>
      <c r="B98" s="15" t="s">
        <v>102</v>
      </c>
      <c r="C98" s="4">
        <f t="shared" si="1"/>
        <v>825</v>
      </c>
      <c r="D98" s="4">
        <v>0</v>
      </c>
      <c r="E98" s="4">
        <v>0</v>
      </c>
      <c r="F98" s="4">
        <f>250+575</f>
        <v>825</v>
      </c>
      <c r="G98" s="4">
        <v>0</v>
      </c>
    </row>
    <row r="99" spans="1:7" ht="15" customHeight="1">
      <c r="A99" s="14"/>
      <c r="B99" s="15" t="s">
        <v>209</v>
      </c>
      <c r="C99" s="4">
        <f t="shared" si="1"/>
        <v>800</v>
      </c>
      <c r="D99" s="4">
        <v>0</v>
      </c>
      <c r="E99" s="4">
        <v>0</v>
      </c>
      <c r="F99" s="4">
        <v>0</v>
      </c>
      <c r="G99" s="4">
        <f>575+225</f>
        <v>800</v>
      </c>
    </row>
    <row r="100" spans="1:7" ht="15" customHeight="1">
      <c r="A100" s="14"/>
      <c r="B100" s="14" t="s">
        <v>138</v>
      </c>
      <c r="C100" s="4">
        <f t="shared" si="1"/>
        <v>775</v>
      </c>
      <c r="D100" s="4">
        <v>0</v>
      </c>
      <c r="E100" s="4">
        <v>0</v>
      </c>
      <c r="F100" s="4">
        <f>350</f>
        <v>350</v>
      </c>
      <c r="G100" s="4">
        <f>425</f>
        <v>425</v>
      </c>
    </row>
    <row r="101" spans="1:7" ht="15" customHeight="1">
      <c r="A101" s="14"/>
      <c r="B101" s="15" t="s">
        <v>174</v>
      </c>
      <c r="C101" s="4">
        <f t="shared" si="1"/>
        <v>775</v>
      </c>
      <c r="D101" s="4">
        <v>0</v>
      </c>
      <c r="E101" s="4">
        <v>0</v>
      </c>
      <c r="F101" s="4">
        <f>425</f>
        <v>425</v>
      </c>
      <c r="G101" s="4">
        <f>350</f>
        <v>350</v>
      </c>
    </row>
    <row r="102" spans="1:7" ht="15" customHeight="1">
      <c r="A102" s="14"/>
      <c r="B102" s="15" t="s">
        <v>160</v>
      </c>
      <c r="C102" s="4">
        <f t="shared" si="1"/>
        <v>725</v>
      </c>
      <c r="D102" s="4">
        <v>0</v>
      </c>
      <c r="E102" s="4">
        <v>0</v>
      </c>
      <c r="F102" s="4">
        <f>350+375</f>
        <v>725</v>
      </c>
      <c r="G102" s="4">
        <v>0</v>
      </c>
    </row>
    <row r="103" spans="1:7" ht="15" customHeight="1">
      <c r="A103" s="14"/>
      <c r="B103" s="14" t="s">
        <v>158</v>
      </c>
      <c r="C103" s="4">
        <f t="shared" si="1"/>
        <v>700</v>
      </c>
      <c r="D103" s="4">
        <v>0</v>
      </c>
      <c r="E103" s="4">
        <v>0</v>
      </c>
      <c r="F103" s="4">
        <f>225</f>
        <v>225</v>
      </c>
      <c r="G103" s="4">
        <f>175+300</f>
        <v>475</v>
      </c>
    </row>
    <row r="104" spans="1:7" ht="15" customHeight="1">
      <c r="A104" s="14"/>
      <c r="B104" s="15" t="s">
        <v>216</v>
      </c>
      <c r="C104" s="4">
        <f t="shared" si="1"/>
        <v>675</v>
      </c>
      <c r="D104" s="4">
        <v>0</v>
      </c>
      <c r="E104" s="4">
        <v>0</v>
      </c>
      <c r="F104" s="4">
        <v>0</v>
      </c>
      <c r="G104" s="4">
        <f>200+475</f>
        <v>675</v>
      </c>
    </row>
    <row r="105" spans="1:7" ht="15" customHeight="1">
      <c r="A105" s="14"/>
      <c r="B105" s="15" t="s">
        <v>44</v>
      </c>
      <c r="C105" s="4">
        <f t="shared" si="1"/>
        <v>655</v>
      </c>
      <c r="D105" s="4">
        <v>250</v>
      </c>
      <c r="E105" s="4">
        <f>130+275</f>
        <v>405</v>
      </c>
      <c r="F105" s="4">
        <v>0</v>
      </c>
      <c r="G105" s="4">
        <v>0</v>
      </c>
    </row>
    <row r="106" spans="1:7" ht="15" customHeight="1">
      <c r="A106" s="14"/>
      <c r="B106" s="15" t="s">
        <v>159</v>
      </c>
      <c r="C106" s="4">
        <f t="shared" si="1"/>
        <v>650</v>
      </c>
      <c r="D106" s="4">
        <v>0</v>
      </c>
      <c r="E106" s="4">
        <v>0</v>
      </c>
      <c r="F106" s="4">
        <f>160</f>
        <v>160</v>
      </c>
      <c r="G106" s="4">
        <f>160+130+200</f>
        <v>490</v>
      </c>
    </row>
    <row r="107" spans="1:7" ht="15" customHeight="1">
      <c r="A107" s="14"/>
      <c r="B107" s="15" t="s">
        <v>187</v>
      </c>
      <c r="C107" s="4">
        <f t="shared" si="1"/>
        <v>650</v>
      </c>
      <c r="D107" s="4">
        <v>0</v>
      </c>
      <c r="E107" s="4">
        <v>0</v>
      </c>
      <c r="F107" s="4">
        <v>0</v>
      </c>
      <c r="G107" s="4">
        <f>325+325</f>
        <v>650</v>
      </c>
    </row>
    <row r="108" spans="1:7" ht="15" customHeight="1">
      <c r="A108" s="14"/>
      <c r="B108" s="15" t="s">
        <v>226</v>
      </c>
      <c r="C108" s="4">
        <f t="shared" si="1"/>
        <v>625</v>
      </c>
      <c r="D108" s="4">
        <v>0</v>
      </c>
      <c r="E108" s="4">
        <v>0</v>
      </c>
      <c r="F108" s="4">
        <f>250</f>
        <v>250</v>
      </c>
      <c r="G108" s="4">
        <f>375</f>
        <v>375</v>
      </c>
    </row>
    <row r="109" spans="1:7" ht="15" customHeight="1">
      <c r="A109" s="14"/>
      <c r="B109" s="15" t="s">
        <v>181</v>
      </c>
      <c r="C109" s="4">
        <f t="shared" si="1"/>
        <v>600</v>
      </c>
      <c r="D109" s="4">
        <v>0</v>
      </c>
      <c r="E109" s="4">
        <v>0</v>
      </c>
      <c r="F109" s="4">
        <v>0</v>
      </c>
      <c r="G109" s="4">
        <f>275+325</f>
        <v>600</v>
      </c>
    </row>
    <row r="110" spans="1:7" ht="15" customHeight="1">
      <c r="A110" s="14"/>
      <c r="B110" s="15" t="s">
        <v>111</v>
      </c>
      <c r="C110" s="4">
        <f t="shared" si="1"/>
        <v>600</v>
      </c>
      <c r="D110" s="4">
        <v>0</v>
      </c>
      <c r="E110" s="4">
        <v>0</v>
      </c>
      <c r="F110" s="4">
        <f>275+325</f>
        <v>600</v>
      </c>
      <c r="G110" s="4">
        <v>0</v>
      </c>
    </row>
    <row r="111" spans="1:7" ht="15" customHeight="1">
      <c r="A111" s="14"/>
      <c r="B111" s="15" t="s">
        <v>176</v>
      </c>
      <c r="C111" s="4">
        <f t="shared" si="1"/>
        <v>600</v>
      </c>
      <c r="D111" s="4">
        <v>0</v>
      </c>
      <c r="E111" s="4">
        <v>0</v>
      </c>
      <c r="F111" s="4">
        <f>300</f>
        <v>300</v>
      </c>
      <c r="G111" s="4">
        <f>300</f>
        <v>300</v>
      </c>
    </row>
    <row r="112" spans="1:7" ht="15" customHeight="1">
      <c r="A112" s="14"/>
      <c r="B112" s="15" t="s">
        <v>233</v>
      </c>
      <c r="C112" s="4">
        <f t="shared" si="1"/>
        <v>575</v>
      </c>
      <c r="D112" s="4">
        <v>0</v>
      </c>
      <c r="E112" s="4">
        <v>0</v>
      </c>
      <c r="F112" s="4">
        <v>0</v>
      </c>
      <c r="G112" s="4">
        <f>575</f>
        <v>575</v>
      </c>
    </row>
    <row r="113" spans="1:7" ht="15" customHeight="1">
      <c r="A113" s="14"/>
      <c r="B113" s="15" t="s">
        <v>231</v>
      </c>
      <c r="C113" s="4">
        <f t="shared" si="1"/>
        <v>575</v>
      </c>
      <c r="D113" s="4">
        <v>0</v>
      </c>
      <c r="E113" s="4">
        <v>0</v>
      </c>
      <c r="F113" s="4">
        <v>0</v>
      </c>
      <c r="G113" s="4">
        <v>575</v>
      </c>
    </row>
    <row r="114" spans="1:7" ht="15" customHeight="1">
      <c r="A114" s="14"/>
      <c r="B114" s="15" t="s">
        <v>227</v>
      </c>
      <c r="C114" s="4">
        <f t="shared" si="1"/>
        <v>575</v>
      </c>
      <c r="D114" s="4">
        <v>0</v>
      </c>
      <c r="E114" s="4">
        <v>0</v>
      </c>
      <c r="F114" s="4">
        <v>0</v>
      </c>
      <c r="G114" s="4">
        <f>575</f>
        <v>575</v>
      </c>
    </row>
    <row r="115" spans="1:7" ht="15" customHeight="1">
      <c r="A115" s="14"/>
      <c r="B115" s="15" t="s">
        <v>53</v>
      </c>
      <c r="C115" s="4">
        <f t="shared" si="1"/>
        <v>575</v>
      </c>
      <c r="D115" s="4">
        <v>0</v>
      </c>
      <c r="E115" s="4">
        <f>575</f>
        <v>575</v>
      </c>
      <c r="F115" s="4">
        <v>0</v>
      </c>
      <c r="G115" s="4">
        <v>0</v>
      </c>
    </row>
    <row r="116" spans="1:7" ht="15" customHeight="1">
      <c r="A116" s="14"/>
      <c r="B116" s="15" t="s">
        <v>137</v>
      </c>
      <c r="C116" s="4">
        <f t="shared" si="1"/>
        <v>505</v>
      </c>
      <c r="D116" s="4">
        <v>0</v>
      </c>
      <c r="E116" s="4">
        <v>0</v>
      </c>
      <c r="F116" s="4">
        <f>375</f>
        <v>375</v>
      </c>
      <c r="G116" s="4">
        <v>130</v>
      </c>
    </row>
    <row r="117" spans="1:7" ht="15" customHeight="1">
      <c r="A117" s="14"/>
      <c r="B117" s="15" t="s">
        <v>201</v>
      </c>
      <c r="C117" s="4">
        <f t="shared" si="1"/>
        <v>500</v>
      </c>
      <c r="D117" s="4">
        <v>0</v>
      </c>
      <c r="E117" s="4">
        <v>0</v>
      </c>
      <c r="F117" s="4">
        <v>0</v>
      </c>
      <c r="G117" s="4">
        <f>200+300</f>
        <v>500</v>
      </c>
    </row>
    <row r="118" spans="1:7" ht="15" customHeight="1">
      <c r="A118" s="14"/>
      <c r="B118" s="15" t="s">
        <v>145</v>
      </c>
      <c r="C118" s="4">
        <f t="shared" si="1"/>
        <v>500</v>
      </c>
      <c r="D118" s="4">
        <v>0</v>
      </c>
      <c r="E118" s="4">
        <v>0</v>
      </c>
      <c r="F118" s="4">
        <f>145+130+225</f>
        <v>500</v>
      </c>
      <c r="G118" s="4">
        <v>0</v>
      </c>
    </row>
    <row r="119" spans="1:7" ht="15" customHeight="1">
      <c r="A119" s="14"/>
      <c r="B119" s="15" t="s">
        <v>211</v>
      </c>
      <c r="C119" s="4">
        <f t="shared" si="1"/>
        <v>475</v>
      </c>
      <c r="D119" s="4">
        <v>0</v>
      </c>
      <c r="E119" s="4">
        <v>0</v>
      </c>
      <c r="F119" s="4">
        <v>0</v>
      </c>
      <c r="G119" s="4">
        <f>475</f>
        <v>475</v>
      </c>
    </row>
    <row r="120" spans="1:7" ht="15" customHeight="1">
      <c r="A120" s="14"/>
      <c r="B120" s="15" t="s">
        <v>190</v>
      </c>
      <c r="C120" s="4">
        <f t="shared" si="1"/>
        <v>475</v>
      </c>
      <c r="D120" s="4">
        <v>0</v>
      </c>
      <c r="E120" s="4">
        <v>0</v>
      </c>
      <c r="F120" s="4">
        <v>0</v>
      </c>
      <c r="G120" s="4">
        <f>475</f>
        <v>475</v>
      </c>
    </row>
    <row r="121" spans="1:7" ht="15" customHeight="1">
      <c r="A121" s="14"/>
      <c r="B121" s="15" t="s">
        <v>162</v>
      </c>
      <c r="C121" s="4">
        <f t="shared" si="1"/>
        <v>470</v>
      </c>
      <c r="D121" s="4">
        <v>0</v>
      </c>
      <c r="E121" s="4">
        <v>0</v>
      </c>
      <c r="F121" s="4">
        <f>145+325</f>
        <v>470</v>
      </c>
      <c r="G121" s="4">
        <v>0</v>
      </c>
    </row>
    <row r="122" spans="1:7" ht="15" customHeight="1">
      <c r="A122" s="14"/>
      <c r="B122" s="15" t="s">
        <v>119</v>
      </c>
      <c r="C122" s="4">
        <f t="shared" si="1"/>
        <v>465</v>
      </c>
      <c r="D122" s="4">
        <v>0</v>
      </c>
      <c r="E122" s="4">
        <v>0</v>
      </c>
      <c r="F122" s="4">
        <f>160+160</f>
        <v>320</v>
      </c>
      <c r="G122" s="4">
        <f>145</f>
        <v>145</v>
      </c>
    </row>
    <row r="123" spans="1:7" ht="15" customHeight="1">
      <c r="A123" s="14"/>
      <c r="B123" s="14" t="s">
        <v>149</v>
      </c>
      <c r="C123" s="4">
        <f t="shared" si="1"/>
        <v>455</v>
      </c>
      <c r="D123" s="4">
        <v>0</v>
      </c>
      <c r="E123" s="4">
        <v>0</v>
      </c>
      <c r="F123" s="4">
        <f>130+325</f>
        <v>455</v>
      </c>
      <c r="G123" s="4">
        <v>0</v>
      </c>
    </row>
    <row r="124" spans="1:7" ht="15" customHeight="1">
      <c r="A124" s="14"/>
      <c r="B124" s="15" t="s">
        <v>114</v>
      </c>
      <c r="C124" s="4">
        <f t="shared" si="1"/>
        <v>450</v>
      </c>
      <c r="D124" s="4">
        <v>0</v>
      </c>
      <c r="E124" s="4">
        <v>0</v>
      </c>
      <c r="F124" s="4">
        <f>275+175</f>
        <v>450</v>
      </c>
      <c r="G124" s="4">
        <v>0</v>
      </c>
    </row>
    <row r="125" spans="1:7" ht="15" customHeight="1">
      <c r="A125" s="14"/>
      <c r="B125" s="14" t="s">
        <v>136</v>
      </c>
      <c r="C125" s="4">
        <f t="shared" si="1"/>
        <v>425</v>
      </c>
      <c r="D125" s="4">
        <v>0</v>
      </c>
      <c r="E125" s="4">
        <v>0</v>
      </c>
      <c r="F125" s="4">
        <f>425</f>
        <v>425</v>
      </c>
      <c r="G125" s="4">
        <v>0</v>
      </c>
    </row>
    <row r="126" spans="1:7" ht="15" customHeight="1">
      <c r="A126" s="14"/>
      <c r="B126" s="15" t="s">
        <v>219</v>
      </c>
      <c r="C126" s="4">
        <f t="shared" si="1"/>
        <v>425</v>
      </c>
      <c r="D126" s="4">
        <v>0</v>
      </c>
      <c r="E126" s="4">
        <v>0</v>
      </c>
      <c r="F126" s="4">
        <v>0</v>
      </c>
      <c r="G126" s="4">
        <f>425</f>
        <v>425</v>
      </c>
    </row>
    <row r="127" spans="1:7" ht="15" customHeight="1">
      <c r="A127" s="14"/>
      <c r="B127" s="15" t="s">
        <v>24</v>
      </c>
      <c r="C127" s="4">
        <f t="shared" si="1"/>
        <v>425</v>
      </c>
      <c r="D127" s="4">
        <v>0</v>
      </c>
      <c r="E127" s="4">
        <f>425</f>
        <v>425</v>
      </c>
      <c r="F127" s="4">
        <v>0</v>
      </c>
      <c r="G127" s="4">
        <v>0</v>
      </c>
    </row>
    <row r="128" spans="1:7" ht="15" customHeight="1">
      <c r="A128" s="14"/>
      <c r="B128" s="15" t="s">
        <v>109</v>
      </c>
      <c r="C128" s="4">
        <f t="shared" si="1"/>
        <v>425</v>
      </c>
      <c r="D128" s="4">
        <v>0</v>
      </c>
      <c r="E128" s="4">
        <v>0</v>
      </c>
      <c r="F128" s="4">
        <f>425</f>
        <v>425</v>
      </c>
      <c r="G128" s="4">
        <v>0</v>
      </c>
    </row>
    <row r="129" spans="1:7" ht="15" customHeight="1">
      <c r="A129" s="14"/>
      <c r="B129" s="15" t="s">
        <v>232</v>
      </c>
      <c r="C129" s="4">
        <f t="shared" si="1"/>
        <v>425</v>
      </c>
      <c r="D129" s="4">
        <v>0</v>
      </c>
      <c r="E129" s="4">
        <v>0</v>
      </c>
      <c r="F129" s="4">
        <v>0</v>
      </c>
      <c r="G129" s="4">
        <f>425</f>
        <v>425</v>
      </c>
    </row>
    <row r="130" spans="1:7" ht="15" customHeight="1">
      <c r="A130" s="14"/>
      <c r="B130" s="15" t="s">
        <v>126</v>
      </c>
      <c r="C130" s="4">
        <f t="shared" si="1"/>
        <v>425</v>
      </c>
      <c r="D130" s="4">
        <v>0</v>
      </c>
      <c r="E130" s="4">
        <v>0</v>
      </c>
      <c r="F130" s="4">
        <f>425</f>
        <v>425</v>
      </c>
      <c r="G130" s="4">
        <v>0</v>
      </c>
    </row>
    <row r="131" spans="1:7" ht="15" customHeight="1">
      <c r="A131" s="14"/>
      <c r="B131" s="15" t="s">
        <v>184</v>
      </c>
      <c r="C131" s="4">
        <f t="shared" si="1"/>
        <v>425</v>
      </c>
      <c r="D131" s="4">
        <v>0</v>
      </c>
      <c r="E131" s="4">
        <v>0</v>
      </c>
      <c r="F131" s="4">
        <v>0</v>
      </c>
      <c r="G131" s="4">
        <f>425</f>
        <v>425</v>
      </c>
    </row>
    <row r="132" spans="1:7" ht="15" customHeight="1">
      <c r="A132" s="14"/>
      <c r="B132" s="15" t="s">
        <v>214</v>
      </c>
      <c r="C132" s="4">
        <f t="shared" si="1"/>
        <v>425</v>
      </c>
      <c r="D132" s="4">
        <v>0</v>
      </c>
      <c r="E132" s="4">
        <v>0</v>
      </c>
      <c r="F132" s="4">
        <v>0</v>
      </c>
      <c r="G132" s="4">
        <f>425</f>
        <v>425</v>
      </c>
    </row>
    <row r="133" spans="1:7" ht="15" customHeight="1">
      <c r="A133" s="14"/>
      <c r="B133" s="15" t="s">
        <v>100</v>
      </c>
      <c r="C133" s="4">
        <f t="shared" si="1"/>
        <v>425</v>
      </c>
      <c r="D133" s="4">
        <v>0</v>
      </c>
      <c r="E133" s="4">
        <v>0</v>
      </c>
      <c r="F133" s="4">
        <f>425</f>
        <v>425</v>
      </c>
      <c r="G133" s="4">
        <v>0</v>
      </c>
    </row>
    <row r="134" spans="1:7" ht="15" customHeight="1">
      <c r="A134" s="14"/>
      <c r="B134" s="15" t="s">
        <v>50</v>
      </c>
      <c r="C134" s="4">
        <f t="shared" si="1"/>
        <v>420</v>
      </c>
      <c r="D134" s="4">
        <v>0</v>
      </c>
      <c r="E134" s="4">
        <f>145+130+145</f>
        <v>420</v>
      </c>
      <c r="F134" s="4">
        <v>0</v>
      </c>
      <c r="G134" s="4">
        <v>0</v>
      </c>
    </row>
    <row r="135" spans="1:7" ht="15" customHeight="1">
      <c r="A135" s="14"/>
      <c r="B135" s="14" t="s">
        <v>122</v>
      </c>
      <c r="C135" s="4">
        <f t="shared" si="1"/>
        <v>400</v>
      </c>
      <c r="D135" s="4">
        <v>0</v>
      </c>
      <c r="E135" s="4">
        <v>0</v>
      </c>
      <c r="F135" s="4">
        <f>225+175</f>
        <v>400</v>
      </c>
      <c r="G135" s="4">
        <v>0</v>
      </c>
    </row>
    <row r="136" spans="1:7" ht="15" customHeight="1">
      <c r="A136" s="14"/>
      <c r="B136" s="14" t="s">
        <v>144</v>
      </c>
      <c r="C136" s="4">
        <f t="shared" si="1"/>
        <v>400</v>
      </c>
      <c r="D136" s="4">
        <v>0</v>
      </c>
      <c r="E136" s="4">
        <v>0</v>
      </c>
      <c r="F136" s="4">
        <f>200+200</f>
        <v>400</v>
      </c>
      <c r="G136" s="4">
        <v>0</v>
      </c>
    </row>
    <row r="137" spans="1:7" ht="15" customHeight="1">
      <c r="A137" s="14"/>
      <c r="B137" s="15" t="s">
        <v>188</v>
      </c>
      <c r="C137" s="4">
        <f aca="true" t="shared" si="2" ref="C137:C200">D137+E137+F137+G137</f>
        <v>380</v>
      </c>
      <c r="D137" s="4">
        <v>0</v>
      </c>
      <c r="E137" s="4">
        <v>0</v>
      </c>
      <c r="F137" s="4">
        <v>0</v>
      </c>
      <c r="G137" s="4">
        <f>250+130</f>
        <v>380</v>
      </c>
    </row>
    <row r="138" spans="1:7" ht="15" customHeight="1">
      <c r="A138" s="14"/>
      <c r="B138" s="15" t="s">
        <v>229</v>
      </c>
      <c r="C138" s="4">
        <f t="shared" si="2"/>
        <v>375</v>
      </c>
      <c r="D138" s="4">
        <v>0</v>
      </c>
      <c r="E138" s="4">
        <v>0</v>
      </c>
      <c r="F138" s="4">
        <v>0</v>
      </c>
      <c r="G138" s="4">
        <f>375</f>
        <v>375</v>
      </c>
    </row>
    <row r="139" spans="1:7" ht="15" customHeight="1">
      <c r="A139" s="14"/>
      <c r="B139" s="15" t="s">
        <v>182</v>
      </c>
      <c r="C139" s="4">
        <f t="shared" si="2"/>
        <v>375</v>
      </c>
      <c r="D139" s="4">
        <v>0</v>
      </c>
      <c r="E139" s="4">
        <v>0</v>
      </c>
      <c r="F139" s="4">
        <f>375</f>
        <v>375</v>
      </c>
      <c r="G139" s="4">
        <v>0</v>
      </c>
    </row>
    <row r="140" spans="1:7" ht="15" customHeight="1">
      <c r="A140" s="14"/>
      <c r="B140" s="15" t="s">
        <v>75</v>
      </c>
      <c r="C140" s="4">
        <f t="shared" si="2"/>
        <v>375</v>
      </c>
      <c r="D140" s="4">
        <v>0</v>
      </c>
      <c r="E140" s="4">
        <f>375</f>
        <v>375</v>
      </c>
      <c r="F140" s="4">
        <v>0</v>
      </c>
      <c r="G140" s="4">
        <v>0</v>
      </c>
    </row>
    <row r="141" spans="1:7" ht="15" customHeight="1">
      <c r="A141" s="14"/>
      <c r="B141" s="15" t="s">
        <v>186</v>
      </c>
      <c r="C141" s="4">
        <f t="shared" si="2"/>
        <v>350</v>
      </c>
      <c r="D141" s="4">
        <v>0</v>
      </c>
      <c r="E141" s="4">
        <v>0</v>
      </c>
      <c r="F141" s="4">
        <v>0</v>
      </c>
      <c r="G141" s="4">
        <f>350</f>
        <v>350</v>
      </c>
    </row>
    <row r="142" spans="1:7" ht="15" customHeight="1">
      <c r="A142" s="14"/>
      <c r="B142" s="15" t="s">
        <v>91</v>
      </c>
      <c r="C142" s="4">
        <f t="shared" si="2"/>
        <v>350</v>
      </c>
      <c r="D142" s="4">
        <v>0</v>
      </c>
      <c r="E142" s="4">
        <f>350</f>
        <v>350</v>
      </c>
      <c r="F142" s="4">
        <v>0</v>
      </c>
      <c r="G142" s="4">
        <v>0</v>
      </c>
    </row>
    <row r="143" spans="1:7" ht="15" customHeight="1">
      <c r="A143" s="14"/>
      <c r="B143" s="15" t="s">
        <v>147</v>
      </c>
      <c r="C143" s="4">
        <f t="shared" si="2"/>
        <v>350</v>
      </c>
      <c r="D143" s="4">
        <v>0</v>
      </c>
      <c r="E143" s="4">
        <v>0</v>
      </c>
      <c r="F143" s="4">
        <f>350</f>
        <v>350</v>
      </c>
      <c r="G143" s="4">
        <v>0</v>
      </c>
    </row>
    <row r="144" spans="1:7" ht="15" customHeight="1">
      <c r="A144" s="14"/>
      <c r="B144" s="15" t="s">
        <v>183</v>
      </c>
      <c r="C144" s="4">
        <f t="shared" si="2"/>
        <v>350</v>
      </c>
      <c r="D144" s="4">
        <v>0</v>
      </c>
      <c r="E144" s="4">
        <v>0</v>
      </c>
      <c r="F144" s="4">
        <v>0</v>
      </c>
      <c r="G144" s="4">
        <f>350</f>
        <v>350</v>
      </c>
    </row>
    <row r="145" spans="1:7" ht="15" customHeight="1">
      <c r="A145" s="14"/>
      <c r="B145" s="15" t="s">
        <v>84</v>
      </c>
      <c r="C145" s="4">
        <f t="shared" si="2"/>
        <v>350</v>
      </c>
      <c r="D145" s="4">
        <v>0</v>
      </c>
      <c r="E145" s="4">
        <f>350</f>
        <v>350</v>
      </c>
      <c r="F145" s="4">
        <v>0</v>
      </c>
      <c r="G145" s="4">
        <v>0</v>
      </c>
    </row>
    <row r="146" spans="1:7" ht="15" customHeight="1">
      <c r="A146" s="14"/>
      <c r="B146" s="15" t="s">
        <v>98</v>
      </c>
      <c r="C146" s="4">
        <f t="shared" si="2"/>
        <v>350</v>
      </c>
      <c r="D146" s="4">
        <v>0</v>
      </c>
      <c r="E146" s="4">
        <v>0</v>
      </c>
      <c r="F146" s="4">
        <f>350</f>
        <v>350</v>
      </c>
      <c r="G146" s="4">
        <v>0</v>
      </c>
    </row>
    <row r="147" spans="1:7" ht="15" customHeight="1">
      <c r="A147" s="14"/>
      <c r="B147" s="15" t="s">
        <v>221</v>
      </c>
      <c r="C147" s="4">
        <f t="shared" si="2"/>
        <v>350</v>
      </c>
      <c r="D147" s="4">
        <v>0</v>
      </c>
      <c r="E147" s="4">
        <v>0</v>
      </c>
      <c r="F147" s="4">
        <v>0</v>
      </c>
      <c r="G147" s="4">
        <f>350</f>
        <v>350</v>
      </c>
    </row>
    <row r="148" spans="1:7" ht="15" customHeight="1">
      <c r="A148" s="14"/>
      <c r="B148" s="15" t="s">
        <v>163</v>
      </c>
      <c r="C148" s="4">
        <f t="shared" si="2"/>
        <v>350</v>
      </c>
      <c r="D148" s="4">
        <v>0</v>
      </c>
      <c r="E148" s="4">
        <v>0</v>
      </c>
      <c r="F148" s="4">
        <f>350</f>
        <v>350</v>
      </c>
      <c r="G148" s="4">
        <v>0</v>
      </c>
    </row>
    <row r="149" spans="1:7" ht="15" customHeight="1">
      <c r="A149" s="14"/>
      <c r="B149" s="15" t="s">
        <v>80</v>
      </c>
      <c r="C149" s="4">
        <f t="shared" si="2"/>
        <v>350</v>
      </c>
      <c r="D149" s="4">
        <v>0</v>
      </c>
      <c r="E149" s="4">
        <f>350</f>
        <v>350</v>
      </c>
      <c r="F149" s="4">
        <v>0</v>
      </c>
      <c r="G149" s="4">
        <v>0</v>
      </c>
    </row>
    <row r="150" spans="1:7" ht="15" customHeight="1">
      <c r="A150" s="14"/>
      <c r="B150" s="15" t="s">
        <v>228</v>
      </c>
      <c r="C150" s="4">
        <f t="shared" si="2"/>
        <v>350</v>
      </c>
      <c r="D150" s="4">
        <v>0</v>
      </c>
      <c r="E150" s="4">
        <v>0</v>
      </c>
      <c r="F150" s="4">
        <v>0</v>
      </c>
      <c r="G150" s="4">
        <f>350</f>
        <v>350</v>
      </c>
    </row>
    <row r="151" spans="1:7" ht="15" customHeight="1">
      <c r="A151" s="14"/>
      <c r="B151" s="15" t="s">
        <v>104</v>
      </c>
      <c r="C151" s="4">
        <f t="shared" si="2"/>
        <v>345</v>
      </c>
      <c r="D151" s="4">
        <v>0</v>
      </c>
      <c r="E151" s="4">
        <v>0</v>
      </c>
      <c r="F151" s="4">
        <f>200</f>
        <v>200</v>
      </c>
      <c r="G151" s="4">
        <f>145</f>
        <v>145</v>
      </c>
    </row>
    <row r="152" spans="1:7" ht="15" customHeight="1">
      <c r="A152" s="14"/>
      <c r="B152" s="15" t="s">
        <v>83</v>
      </c>
      <c r="C152" s="4">
        <f t="shared" si="2"/>
        <v>345</v>
      </c>
      <c r="D152" s="4">
        <v>0</v>
      </c>
      <c r="E152" s="4">
        <f>145</f>
        <v>145</v>
      </c>
      <c r="F152" s="4">
        <f>200</f>
        <v>200</v>
      </c>
      <c r="G152" s="4">
        <v>0</v>
      </c>
    </row>
    <row r="153" spans="1:7" ht="15" customHeight="1">
      <c r="A153" s="14"/>
      <c r="B153" s="15" t="s">
        <v>192</v>
      </c>
      <c r="C153" s="4">
        <f t="shared" si="2"/>
        <v>340</v>
      </c>
      <c r="D153" s="4">
        <v>0</v>
      </c>
      <c r="E153" s="4">
        <v>0</v>
      </c>
      <c r="F153" s="4">
        <v>0</v>
      </c>
      <c r="G153" s="4">
        <f>115+225</f>
        <v>340</v>
      </c>
    </row>
    <row r="154" spans="1:7" ht="15" customHeight="1">
      <c r="A154" s="14"/>
      <c r="B154" s="15" t="s">
        <v>212</v>
      </c>
      <c r="C154" s="4">
        <f t="shared" si="2"/>
        <v>325</v>
      </c>
      <c r="D154" s="4">
        <v>0</v>
      </c>
      <c r="E154" s="4">
        <v>0</v>
      </c>
      <c r="F154" s="4">
        <v>0</v>
      </c>
      <c r="G154" s="4">
        <f>325</f>
        <v>325</v>
      </c>
    </row>
    <row r="155" spans="1:7" ht="15" customHeight="1">
      <c r="A155" s="14"/>
      <c r="B155" s="15" t="s">
        <v>164</v>
      </c>
      <c r="C155" s="4">
        <f t="shared" si="2"/>
        <v>325</v>
      </c>
      <c r="D155" s="4">
        <v>0</v>
      </c>
      <c r="E155" s="4">
        <v>0</v>
      </c>
      <c r="F155" s="4">
        <f>325</f>
        <v>325</v>
      </c>
      <c r="G155" s="4">
        <v>0</v>
      </c>
    </row>
    <row r="156" spans="1:7" ht="15" customHeight="1">
      <c r="A156" s="14"/>
      <c r="B156" s="15" t="s">
        <v>139</v>
      </c>
      <c r="C156" s="4">
        <f t="shared" si="2"/>
        <v>325</v>
      </c>
      <c r="D156" s="4">
        <v>0</v>
      </c>
      <c r="E156" s="4">
        <v>0</v>
      </c>
      <c r="F156" s="4">
        <f>325</f>
        <v>325</v>
      </c>
      <c r="G156" s="4">
        <v>0</v>
      </c>
    </row>
    <row r="157" spans="1:7" ht="15" customHeight="1">
      <c r="A157" s="14"/>
      <c r="B157" s="15" t="s">
        <v>85</v>
      </c>
      <c r="C157" s="4">
        <f t="shared" si="2"/>
        <v>325</v>
      </c>
      <c r="D157" s="4">
        <v>0</v>
      </c>
      <c r="E157" s="4">
        <f>325</f>
        <v>325</v>
      </c>
      <c r="F157" s="4">
        <v>0</v>
      </c>
      <c r="G157" s="4">
        <v>0</v>
      </c>
    </row>
    <row r="158" spans="1:7" ht="15" customHeight="1">
      <c r="A158" s="14"/>
      <c r="B158" s="15" t="s">
        <v>140</v>
      </c>
      <c r="C158" s="4">
        <f t="shared" si="2"/>
        <v>300</v>
      </c>
      <c r="D158" s="4">
        <v>0</v>
      </c>
      <c r="E158" s="4">
        <v>0</v>
      </c>
      <c r="F158" s="4">
        <f>300</f>
        <v>300</v>
      </c>
      <c r="G158" s="4">
        <v>0</v>
      </c>
    </row>
    <row r="159" spans="1:7" ht="15" customHeight="1">
      <c r="A159" s="14"/>
      <c r="B159" s="15" t="s">
        <v>81</v>
      </c>
      <c r="C159" s="4">
        <f t="shared" si="2"/>
        <v>300</v>
      </c>
      <c r="D159" s="4">
        <v>0</v>
      </c>
      <c r="E159" s="4">
        <f>300</f>
        <v>300</v>
      </c>
      <c r="F159" s="4">
        <v>0</v>
      </c>
      <c r="G159" s="4">
        <v>0</v>
      </c>
    </row>
    <row r="160" spans="1:7" ht="15" customHeight="1">
      <c r="A160" s="14"/>
      <c r="B160" s="15" t="s">
        <v>194</v>
      </c>
      <c r="C160" s="4">
        <f t="shared" si="2"/>
        <v>290</v>
      </c>
      <c r="D160" s="4">
        <v>0</v>
      </c>
      <c r="E160" s="4">
        <v>0</v>
      </c>
      <c r="F160" s="4">
        <v>0</v>
      </c>
      <c r="G160" s="4">
        <f>175+115</f>
        <v>290</v>
      </c>
    </row>
    <row r="161" spans="1:7" ht="15" customHeight="1">
      <c r="A161" s="14"/>
      <c r="B161" s="15" t="s">
        <v>222</v>
      </c>
      <c r="C161" s="4">
        <f t="shared" si="2"/>
        <v>275</v>
      </c>
      <c r="D161" s="4">
        <v>0</v>
      </c>
      <c r="E161" s="4">
        <v>0</v>
      </c>
      <c r="F161" s="4">
        <f>115</f>
        <v>115</v>
      </c>
      <c r="G161" s="4">
        <f>160</f>
        <v>160</v>
      </c>
    </row>
    <row r="162" spans="1:7" ht="15" customHeight="1">
      <c r="A162" s="14"/>
      <c r="B162" s="14" t="s">
        <v>199</v>
      </c>
      <c r="C162" s="4">
        <f t="shared" si="2"/>
        <v>275</v>
      </c>
      <c r="D162" s="4">
        <v>0</v>
      </c>
      <c r="E162" s="4">
        <v>0</v>
      </c>
      <c r="F162" s="4">
        <v>0</v>
      </c>
      <c r="G162" s="4">
        <f>275</f>
        <v>275</v>
      </c>
    </row>
    <row r="163" spans="1:7" ht="15" customHeight="1">
      <c r="A163" s="14"/>
      <c r="B163" s="14" t="s">
        <v>215</v>
      </c>
      <c r="C163" s="4">
        <f t="shared" si="2"/>
        <v>275</v>
      </c>
      <c r="D163" s="4">
        <v>0</v>
      </c>
      <c r="E163" s="4">
        <v>0</v>
      </c>
      <c r="F163" s="4">
        <v>0</v>
      </c>
      <c r="G163" s="4">
        <f>275</f>
        <v>275</v>
      </c>
    </row>
    <row r="164" spans="1:7" ht="15" customHeight="1">
      <c r="A164" s="14"/>
      <c r="B164" s="15" t="s">
        <v>48</v>
      </c>
      <c r="C164" s="4">
        <f t="shared" si="2"/>
        <v>275</v>
      </c>
      <c r="D164" s="4">
        <v>0</v>
      </c>
      <c r="E164" s="4">
        <f>275</f>
        <v>275</v>
      </c>
      <c r="F164" s="4">
        <v>0</v>
      </c>
      <c r="G164" s="4">
        <v>0</v>
      </c>
    </row>
    <row r="165" spans="1:7" ht="15" customHeight="1">
      <c r="A165" s="14"/>
      <c r="B165" s="15" t="s">
        <v>224</v>
      </c>
      <c r="C165" s="4">
        <f t="shared" si="2"/>
        <v>275</v>
      </c>
      <c r="D165" s="4">
        <v>0</v>
      </c>
      <c r="E165" s="4">
        <v>0</v>
      </c>
      <c r="F165" s="4">
        <v>0</v>
      </c>
      <c r="G165" s="4">
        <f>275</f>
        <v>275</v>
      </c>
    </row>
    <row r="166" spans="1:7" ht="15" customHeight="1">
      <c r="A166" s="14"/>
      <c r="B166" s="15" t="s">
        <v>116</v>
      </c>
      <c r="C166" s="4">
        <f t="shared" si="2"/>
        <v>275</v>
      </c>
      <c r="D166" s="4">
        <v>0</v>
      </c>
      <c r="E166" s="4">
        <v>0</v>
      </c>
      <c r="F166" s="4">
        <f>130</f>
        <v>130</v>
      </c>
      <c r="G166" s="4">
        <f>145</f>
        <v>145</v>
      </c>
    </row>
    <row r="167" spans="1:7" ht="15" customHeight="1">
      <c r="A167" s="14"/>
      <c r="B167" s="15" t="s">
        <v>205</v>
      </c>
      <c r="C167" s="4">
        <f t="shared" si="2"/>
        <v>275</v>
      </c>
      <c r="D167" s="4">
        <v>0</v>
      </c>
      <c r="E167" s="4">
        <v>0</v>
      </c>
      <c r="F167" s="4">
        <v>0</v>
      </c>
      <c r="G167" s="4">
        <f>275</f>
        <v>275</v>
      </c>
    </row>
    <row r="168" spans="1:7" ht="15" customHeight="1">
      <c r="A168" s="14"/>
      <c r="B168" s="15" t="s">
        <v>141</v>
      </c>
      <c r="C168" s="4">
        <f t="shared" si="2"/>
        <v>275</v>
      </c>
      <c r="D168" s="4">
        <v>0</v>
      </c>
      <c r="E168" s="4">
        <v>0</v>
      </c>
      <c r="F168" s="4">
        <f>275</f>
        <v>275</v>
      </c>
      <c r="G168" s="4">
        <v>0</v>
      </c>
    </row>
    <row r="169" spans="1:7" ht="15" customHeight="1">
      <c r="A169" s="14"/>
      <c r="B169" s="15" t="s">
        <v>206</v>
      </c>
      <c r="C169" s="4">
        <f t="shared" si="2"/>
        <v>250</v>
      </c>
      <c r="D169" s="4">
        <v>0</v>
      </c>
      <c r="E169" s="4">
        <v>0</v>
      </c>
      <c r="F169" s="4">
        <v>0</v>
      </c>
      <c r="G169" s="4">
        <f>250</f>
        <v>250</v>
      </c>
    </row>
    <row r="170" spans="1:7" ht="15" customHeight="1">
      <c r="A170" s="14"/>
      <c r="B170" s="15" t="s">
        <v>225</v>
      </c>
      <c r="C170" s="4">
        <f t="shared" si="2"/>
        <v>250</v>
      </c>
      <c r="D170" s="4">
        <v>0</v>
      </c>
      <c r="E170" s="4">
        <v>0</v>
      </c>
      <c r="F170" s="4">
        <v>0</v>
      </c>
      <c r="G170" s="4">
        <f>250</f>
        <v>250</v>
      </c>
    </row>
    <row r="171" spans="1:7" ht="15" customHeight="1">
      <c r="A171" s="14"/>
      <c r="B171" s="15" t="s">
        <v>165</v>
      </c>
      <c r="C171" s="4">
        <f t="shared" si="2"/>
        <v>250</v>
      </c>
      <c r="D171" s="4">
        <v>0</v>
      </c>
      <c r="E171" s="4">
        <v>0</v>
      </c>
      <c r="F171" s="4">
        <f>250</f>
        <v>250</v>
      </c>
      <c r="G171" s="4">
        <v>0</v>
      </c>
    </row>
    <row r="172" spans="1:7" ht="15" customHeight="1">
      <c r="A172" s="14"/>
      <c r="B172" s="15" t="s">
        <v>66</v>
      </c>
      <c r="C172" s="4">
        <f t="shared" si="2"/>
        <v>250</v>
      </c>
      <c r="D172" s="4">
        <v>0</v>
      </c>
      <c r="E172" s="4">
        <f>250</f>
        <v>250</v>
      </c>
      <c r="F172" s="4">
        <v>0</v>
      </c>
      <c r="G172" s="4">
        <v>0</v>
      </c>
    </row>
    <row r="173" spans="1:7" ht="15" customHeight="1">
      <c r="A173" s="14"/>
      <c r="B173" s="15" t="s">
        <v>177</v>
      </c>
      <c r="C173" s="4">
        <f t="shared" si="2"/>
        <v>250</v>
      </c>
      <c r="D173" s="4">
        <v>0</v>
      </c>
      <c r="E173" s="4">
        <v>0</v>
      </c>
      <c r="F173" s="4">
        <f>250</f>
        <v>250</v>
      </c>
      <c r="G173" s="4">
        <v>0</v>
      </c>
    </row>
    <row r="174" spans="1:7" ht="15" customHeight="1">
      <c r="A174" s="14"/>
      <c r="B174" s="15" t="s">
        <v>121</v>
      </c>
      <c r="C174" s="4">
        <f t="shared" si="2"/>
        <v>250</v>
      </c>
      <c r="D174" s="4">
        <v>0</v>
      </c>
      <c r="E174" s="4">
        <v>0</v>
      </c>
      <c r="F174" s="4">
        <f>250</f>
        <v>250</v>
      </c>
      <c r="G174" s="4">
        <v>0</v>
      </c>
    </row>
    <row r="175" spans="1:7" ht="15" customHeight="1">
      <c r="A175" s="14"/>
      <c r="B175" s="15" t="s">
        <v>76</v>
      </c>
      <c r="C175" s="4">
        <f t="shared" si="2"/>
        <v>225</v>
      </c>
      <c r="D175" s="4">
        <v>0</v>
      </c>
      <c r="E175" s="4">
        <f>225</f>
        <v>225</v>
      </c>
      <c r="F175" s="4">
        <v>0</v>
      </c>
      <c r="G175" s="4">
        <v>0</v>
      </c>
    </row>
    <row r="176" spans="1:7" ht="15" customHeight="1">
      <c r="A176" s="14"/>
      <c r="B176" s="15" t="s">
        <v>179</v>
      </c>
      <c r="C176" s="4">
        <f t="shared" si="2"/>
        <v>225</v>
      </c>
      <c r="D176" s="4">
        <v>0</v>
      </c>
      <c r="E176" s="4">
        <v>0</v>
      </c>
      <c r="F176" s="4">
        <f>225</f>
        <v>225</v>
      </c>
      <c r="G176" s="4">
        <v>0</v>
      </c>
    </row>
    <row r="177" spans="1:7" ht="15" customHeight="1">
      <c r="A177" s="14"/>
      <c r="B177" s="15" t="s">
        <v>93</v>
      </c>
      <c r="C177" s="4">
        <f t="shared" si="2"/>
        <v>225</v>
      </c>
      <c r="D177" s="4">
        <v>0</v>
      </c>
      <c r="E177" s="4">
        <v>225</v>
      </c>
      <c r="F177" s="4">
        <v>0</v>
      </c>
      <c r="G177" s="4">
        <v>0</v>
      </c>
    </row>
    <row r="178" spans="1:7" ht="15" customHeight="1">
      <c r="A178" s="14"/>
      <c r="B178" s="15" t="s">
        <v>103</v>
      </c>
      <c r="C178" s="4">
        <f t="shared" si="2"/>
        <v>225</v>
      </c>
      <c r="D178" s="4">
        <v>0</v>
      </c>
      <c r="E178" s="4">
        <v>0</v>
      </c>
      <c r="F178" s="4">
        <f>225</f>
        <v>225</v>
      </c>
      <c r="G178" s="4">
        <v>0</v>
      </c>
    </row>
    <row r="179" spans="1:7" ht="15" customHeight="1">
      <c r="A179" s="14"/>
      <c r="B179" s="15" t="s">
        <v>207</v>
      </c>
      <c r="C179" s="4">
        <f t="shared" si="2"/>
        <v>225</v>
      </c>
      <c r="D179" s="4">
        <v>0</v>
      </c>
      <c r="E179" s="4">
        <v>0</v>
      </c>
      <c r="F179" s="4">
        <v>0</v>
      </c>
      <c r="G179" s="4">
        <f>225</f>
        <v>225</v>
      </c>
    </row>
    <row r="180" spans="1:7" ht="15" customHeight="1">
      <c r="A180" s="14"/>
      <c r="B180" s="15" t="s">
        <v>130</v>
      </c>
      <c r="C180" s="4">
        <f t="shared" si="2"/>
        <v>225</v>
      </c>
      <c r="D180" s="4">
        <v>0</v>
      </c>
      <c r="E180" s="4">
        <v>0</v>
      </c>
      <c r="F180" s="4">
        <f>225</f>
        <v>225</v>
      </c>
      <c r="G180" s="4">
        <v>0</v>
      </c>
    </row>
    <row r="181" spans="1:7" ht="15" customHeight="1">
      <c r="A181" s="14"/>
      <c r="B181" s="15" t="s">
        <v>234</v>
      </c>
      <c r="C181" s="4">
        <f t="shared" si="2"/>
        <v>225</v>
      </c>
      <c r="D181" s="4">
        <v>0</v>
      </c>
      <c r="E181" s="4">
        <v>0</v>
      </c>
      <c r="F181" s="4">
        <v>0</v>
      </c>
      <c r="G181" s="4">
        <v>225</v>
      </c>
    </row>
    <row r="182" spans="1:7" ht="15" customHeight="1">
      <c r="A182" s="14"/>
      <c r="B182" s="15" t="s">
        <v>112</v>
      </c>
      <c r="C182" s="4">
        <f t="shared" si="2"/>
        <v>225</v>
      </c>
      <c r="D182" s="4">
        <v>0</v>
      </c>
      <c r="E182" s="4">
        <v>0</v>
      </c>
      <c r="F182" s="4">
        <f>225</f>
        <v>225</v>
      </c>
      <c r="G182" s="4">
        <v>0</v>
      </c>
    </row>
    <row r="183" spans="1:7" ht="15" customHeight="1">
      <c r="A183" s="14"/>
      <c r="B183" s="15" t="s">
        <v>213</v>
      </c>
      <c r="C183" s="4">
        <f t="shared" si="2"/>
        <v>225</v>
      </c>
      <c r="D183" s="4">
        <v>0</v>
      </c>
      <c r="E183" s="4">
        <v>0</v>
      </c>
      <c r="F183" s="4">
        <v>0</v>
      </c>
      <c r="G183" s="4">
        <v>225</v>
      </c>
    </row>
    <row r="184" spans="1:7" ht="15" customHeight="1">
      <c r="A184" s="14"/>
      <c r="B184" s="15" t="s">
        <v>166</v>
      </c>
      <c r="C184" s="4">
        <f t="shared" si="2"/>
        <v>225</v>
      </c>
      <c r="D184" s="4">
        <v>0</v>
      </c>
      <c r="E184" s="4">
        <v>0</v>
      </c>
      <c r="F184" s="4">
        <f>225</f>
        <v>225</v>
      </c>
      <c r="G184" s="4">
        <v>0</v>
      </c>
    </row>
    <row r="185" spans="1:7" ht="15" customHeight="1">
      <c r="A185" s="14"/>
      <c r="B185" s="15" t="s">
        <v>153</v>
      </c>
      <c r="C185" s="4">
        <f t="shared" si="2"/>
        <v>200</v>
      </c>
      <c r="D185" s="4">
        <v>0</v>
      </c>
      <c r="E185" s="4">
        <v>0</v>
      </c>
      <c r="F185" s="4">
        <f>200</f>
        <v>200</v>
      </c>
      <c r="G185" s="4">
        <v>0</v>
      </c>
    </row>
    <row r="186" spans="1:7" ht="15" customHeight="1">
      <c r="A186" s="14"/>
      <c r="B186" s="15" t="s">
        <v>235</v>
      </c>
      <c r="C186" s="4">
        <f t="shared" si="2"/>
        <v>200</v>
      </c>
      <c r="D186" s="4">
        <v>0</v>
      </c>
      <c r="E186" s="4">
        <v>0</v>
      </c>
      <c r="F186" s="4">
        <v>0</v>
      </c>
      <c r="G186" s="4">
        <v>200</v>
      </c>
    </row>
    <row r="187" spans="1:7" ht="15" customHeight="1">
      <c r="A187" s="14"/>
      <c r="B187" s="15" t="s">
        <v>113</v>
      </c>
      <c r="C187" s="4">
        <f t="shared" si="2"/>
        <v>200</v>
      </c>
      <c r="D187" s="4">
        <v>0</v>
      </c>
      <c r="E187" s="4">
        <v>0</v>
      </c>
      <c r="F187" s="4">
        <f>200</f>
        <v>200</v>
      </c>
      <c r="G187" s="4">
        <v>0</v>
      </c>
    </row>
    <row r="188" spans="1:7" ht="15" customHeight="1">
      <c r="A188" s="14"/>
      <c r="B188" s="15" t="s">
        <v>89</v>
      </c>
      <c r="C188" s="4">
        <f t="shared" si="2"/>
        <v>200</v>
      </c>
      <c r="D188" s="4">
        <v>0</v>
      </c>
      <c r="E188" s="4">
        <f>200</f>
        <v>200</v>
      </c>
      <c r="F188" s="4">
        <v>0</v>
      </c>
      <c r="G188" s="4">
        <v>0</v>
      </c>
    </row>
    <row r="189" spans="1:7" ht="15" customHeight="1">
      <c r="A189" s="14"/>
      <c r="B189" s="15" t="s">
        <v>123</v>
      </c>
      <c r="C189" s="4">
        <f t="shared" si="2"/>
        <v>200</v>
      </c>
      <c r="D189" s="4">
        <v>0</v>
      </c>
      <c r="E189" s="4">
        <v>0</v>
      </c>
      <c r="F189" s="4">
        <f>200</f>
        <v>200</v>
      </c>
      <c r="G189" s="4">
        <v>0</v>
      </c>
    </row>
    <row r="190" spans="1:7" ht="15" customHeight="1">
      <c r="A190" s="14"/>
      <c r="B190" s="15" t="s">
        <v>74</v>
      </c>
      <c r="C190" s="4">
        <f t="shared" si="2"/>
        <v>200</v>
      </c>
      <c r="D190" s="4">
        <v>0</v>
      </c>
      <c r="E190" s="4">
        <f>200</f>
        <v>200</v>
      </c>
      <c r="F190" s="4">
        <v>0</v>
      </c>
      <c r="G190" s="4">
        <v>0</v>
      </c>
    </row>
    <row r="191" spans="1:7" ht="15" customHeight="1">
      <c r="A191" s="14"/>
      <c r="B191" s="15" t="s">
        <v>178</v>
      </c>
      <c r="C191" s="4">
        <f t="shared" si="2"/>
        <v>200</v>
      </c>
      <c r="D191" s="4">
        <v>0</v>
      </c>
      <c r="E191" s="4">
        <v>0</v>
      </c>
      <c r="F191" s="4">
        <f>200</f>
        <v>200</v>
      </c>
      <c r="G191" s="4">
        <v>0</v>
      </c>
    </row>
    <row r="192" spans="1:7" ht="15" customHeight="1">
      <c r="A192" s="14"/>
      <c r="B192" s="15" t="s">
        <v>230</v>
      </c>
      <c r="C192" s="4">
        <f t="shared" si="2"/>
        <v>200</v>
      </c>
      <c r="D192" s="4">
        <v>0</v>
      </c>
      <c r="E192" s="4">
        <v>0</v>
      </c>
      <c r="F192" s="4">
        <v>0</v>
      </c>
      <c r="G192" s="4">
        <f>200</f>
        <v>200</v>
      </c>
    </row>
    <row r="193" spans="1:7" ht="15" customHeight="1">
      <c r="A193" s="14"/>
      <c r="B193" s="15" t="s">
        <v>202</v>
      </c>
      <c r="C193" s="4">
        <f t="shared" si="2"/>
        <v>175</v>
      </c>
      <c r="D193" s="4">
        <v>0</v>
      </c>
      <c r="E193" s="4">
        <v>0</v>
      </c>
      <c r="F193" s="4">
        <v>0</v>
      </c>
      <c r="G193" s="4">
        <f>175</f>
        <v>175</v>
      </c>
    </row>
    <row r="194" spans="1:7" ht="15" customHeight="1">
      <c r="A194" s="14"/>
      <c r="B194" s="15" t="s">
        <v>51</v>
      </c>
      <c r="C194" s="4">
        <f t="shared" si="2"/>
        <v>175</v>
      </c>
      <c r="D194" s="4">
        <v>0</v>
      </c>
      <c r="E194" s="4">
        <f>175</f>
        <v>175</v>
      </c>
      <c r="F194" s="4">
        <v>0</v>
      </c>
      <c r="G194" s="4">
        <v>0</v>
      </c>
    </row>
    <row r="195" spans="1:7" ht="15" customHeight="1">
      <c r="A195" s="14"/>
      <c r="B195" s="15" t="s">
        <v>154</v>
      </c>
      <c r="C195" s="4">
        <f t="shared" si="2"/>
        <v>175</v>
      </c>
      <c r="D195" s="4">
        <v>0</v>
      </c>
      <c r="E195" s="4">
        <v>0</v>
      </c>
      <c r="F195" s="4">
        <f>175</f>
        <v>175</v>
      </c>
      <c r="G195" s="4">
        <v>0</v>
      </c>
    </row>
    <row r="196" spans="1:7" ht="15" customHeight="1">
      <c r="A196" s="14"/>
      <c r="B196" s="15" t="s">
        <v>128</v>
      </c>
      <c r="C196" s="4">
        <f t="shared" si="2"/>
        <v>175</v>
      </c>
      <c r="D196" s="4">
        <v>0</v>
      </c>
      <c r="E196" s="4">
        <v>0</v>
      </c>
      <c r="F196" s="4">
        <f>175</f>
        <v>175</v>
      </c>
      <c r="G196" s="4">
        <v>0</v>
      </c>
    </row>
    <row r="197" spans="1:7" ht="15" customHeight="1">
      <c r="A197" s="14"/>
      <c r="B197" s="15" t="s">
        <v>161</v>
      </c>
      <c r="C197" s="4">
        <f t="shared" si="2"/>
        <v>175</v>
      </c>
      <c r="D197" s="4">
        <v>0</v>
      </c>
      <c r="E197" s="4">
        <v>0</v>
      </c>
      <c r="F197" s="4">
        <f>175</f>
        <v>175</v>
      </c>
      <c r="G197" s="4">
        <v>0</v>
      </c>
    </row>
    <row r="198" spans="1:7" ht="15" customHeight="1">
      <c r="A198" s="14"/>
      <c r="B198" s="15" t="s">
        <v>86</v>
      </c>
      <c r="C198" s="4">
        <f t="shared" si="2"/>
        <v>175</v>
      </c>
      <c r="D198" s="4">
        <v>0</v>
      </c>
      <c r="E198" s="4">
        <f>175</f>
        <v>175</v>
      </c>
      <c r="F198" s="4">
        <v>0</v>
      </c>
      <c r="G198" s="4">
        <v>0</v>
      </c>
    </row>
    <row r="199" spans="1:7" ht="15" customHeight="1">
      <c r="A199" s="14"/>
      <c r="B199" s="15" t="s">
        <v>208</v>
      </c>
      <c r="C199" s="4">
        <f t="shared" si="2"/>
        <v>175</v>
      </c>
      <c r="D199" s="4">
        <v>0</v>
      </c>
      <c r="E199" s="4">
        <v>0</v>
      </c>
      <c r="F199" s="4">
        <v>0</v>
      </c>
      <c r="G199" s="4">
        <f>175</f>
        <v>175</v>
      </c>
    </row>
    <row r="200" spans="1:7" ht="15" customHeight="1">
      <c r="A200" s="14"/>
      <c r="B200" s="15" t="s">
        <v>148</v>
      </c>
      <c r="C200" s="4">
        <f t="shared" si="2"/>
        <v>175</v>
      </c>
      <c r="D200" s="4">
        <v>0</v>
      </c>
      <c r="E200" s="4">
        <v>0</v>
      </c>
      <c r="F200" s="4">
        <f>175</f>
        <v>175</v>
      </c>
      <c r="G200" s="4">
        <v>0</v>
      </c>
    </row>
    <row r="201" spans="1:7" ht="15" customHeight="1">
      <c r="A201" s="14"/>
      <c r="B201" s="15" t="s">
        <v>167</v>
      </c>
      <c r="C201" s="4">
        <f aca="true" t="shared" si="3" ref="C201:C234">D201+E201+F201+G201</f>
        <v>175</v>
      </c>
      <c r="D201" s="4">
        <v>0</v>
      </c>
      <c r="E201" s="4">
        <v>0</v>
      </c>
      <c r="F201" s="4">
        <f>175</f>
        <v>175</v>
      </c>
      <c r="G201" s="4">
        <v>0</v>
      </c>
    </row>
    <row r="202" spans="1:7" ht="15" customHeight="1">
      <c r="A202" s="14"/>
      <c r="B202" s="15" t="s">
        <v>217</v>
      </c>
      <c r="C202" s="4">
        <f t="shared" si="3"/>
        <v>175</v>
      </c>
      <c r="D202" s="4">
        <v>0</v>
      </c>
      <c r="E202" s="4">
        <v>0</v>
      </c>
      <c r="F202" s="4">
        <v>0</v>
      </c>
      <c r="G202" s="4">
        <f>175</f>
        <v>175</v>
      </c>
    </row>
    <row r="203" spans="1:7" ht="15" customHeight="1">
      <c r="A203" s="14"/>
      <c r="B203" s="15" t="s">
        <v>168</v>
      </c>
      <c r="C203" s="4">
        <f t="shared" si="3"/>
        <v>160</v>
      </c>
      <c r="D203" s="4">
        <v>0</v>
      </c>
      <c r="E203" s="4">
        <v>0</v>
      </c>
      <c r="F203" s="4">
        <f>160</f>
        <v>160</v>
      </c>
      <c r="G203" s="4">
        <v>0</v>
      </c>
    </row>
    <row r="204" spans="1:7" ht="15" customHeight="1">
      <c r="A204" s="14"/>
      <c r="B204" s="15" t="s">
        <v>155</v>
      </c>
      <c r="C204" s="4">
        <f t="shared" si="3"/>
        <v>160</v>
      </c>
      <c r="D204" s="4">
        <v>0</v>
      </c>
      <c r="E204" s="4">
        <v>0</v>
      </c>
      <c r="F204" s="4">
        <f>160</f>
        <v>160</v>
      </c>
      <c r="G204" s="4">
        <v>0</v>
      </c>
    </row>
    <row r="205" spans="1:7" ht="15" customHeight="1">
      <c r="A205" s="14"/>
      <c r="B205" s="15" t="s">
        <v>236</v>
      </c>
      <c r="C205" s="4">
        <f t="shared" si="3"/>
        <v>160</v>
      </c>
      <c r="D205" s="4">
        <v>0</v>
      </c>
      <c r="E205" s="4">
        <v>0</v>
      </c>
      <c r="F205" s="4">
        <v>0</v>
      </c>
      <c r="G205" s="4">
        <v>160</v>
      </c>
    </row>
    <row r="206" spans="1:7" ht="15" customHeight="1">
      <c r="A206" s="14"/>
      <c r="B206" s="15" t="s">
        <v>14</v>
      </c>
      <c r="C206" s="4">
        <f t="shared" si="3"/>
        <v>160</v>
      </c>
      <c r="D206" s="4">
        <v>0</v>
      </c>
      <c r="E206" s="4">
        <f>160</f>
        <v>160</v>
      </c>
      <c r="F206" s="4">
        <v>0</v>
      </c>
      <c r="G206" s="4">
        <v>0</v>
      </c>
    </row>
    <row r="207" spans="1:7" ht="15" customHeight="1">
      <c r="A207" s="14"/>
      <c r="B207" s="15" t="s">
        <v>203</v>
      </c>
      <c r="C207" s="4">
        <f t="shared" si="3"/>
        <v>160</v>
      </c>
      <c r="D207" s="4">
        <v>0</v>
      </c>
      <c r="E207" s="4">
        <v>0</v>
      </c>
      <c r="F207" s="4">
        <v>0</v>
      </c>
      <c r="G207" s="4">
        <f>160</f>
        <v>160</v>
      </c>
    </row>
    <row r="208" spans="1:7" ht="15" customHeight="1">
      <c r="A208" s="14"/>
      <c r="B208" s="15" t="s">
        <v>87</v>
      </c>
      <c r="C208" s="4">
        <f t="shared" si="3"/>
        <v>160</v>
      </c>
      <c r="D208" s="4">
        <v>0</v>
      </c>
      <c r="E208" s="4">
        <f>160</f>
        <v>160</v>
      </c>
      <c r="F208" s="4">
        <v>0</v>
      </c>
      <c r="G208" s="4">
        <v>0</v>
      </c>
    </row>
    <row r="209" spans="1:7" ht="15" customHeight="1">
      <c r="A209" s="14"/>
      <c r="B209" s="15" t="s">
        <v>46</v>
      </c>
      <c r="C209" s="4">
        <f t="shared" si="3"/>
        <v>160</v>
      </c>
      <c r="D209" s="4">
        <v>160</v>
      </c>
      <c r="E209" s="4">
        <v>0</v>
      </c>
      <c r="F209" s="4">
        <v>0</v>
      </c>
      <c r="G209" s="4">
        <v>0</v>
      </c>
    </row>
    <row r="210" spans="1:7" ht="15" customHeight="1">
      <c r="A210" s="14"/>
      <c r="B210" s="15" t="s">
        <v>105</v>
      </c>
      <c r="C210" s="4">
        <f t="shared" si="3"/>
        <v>160</v>
      </c>
      <c r="D210" s="4">
        <v>0</v>
      </c>
      <c r="E210" s="4">
        <v>0</v>
      </c>
      <c r="F210" s="4">
        <f>160</f>
        <v>160</v>
      </c>
      <c r="G210" s="4">
        <v>0</v>
      </c>
    </row>
    <row r="211" spans="1:7" ht="15" customHeight="1">
      <c r="A211" s="14"/>
      <c r="B211" s="15" t="s">
        <v>131</v>
      </c>
      <c r="C211" s="4">
        <f t="shared" si="3"/>
        <v>145</v>
      </c>
      <c r="D211" s="4">
        <v>0</v>
      </c>
      <c r="E211" s="4">
        <v>0</v>
      </c>
      <c r="F211" s="4">
        <f>145</f>
        <v>145</v>
      </c>
      <c r="G211" s="4">
        <v>0</v>
      </c>
    </row>
    <row r="212" spans="1:7" ht="15" customHeight="1">
      <c r="A212" s="14"/>
      <c r="B212" s="15" t="s">
        <v>78</v>
      </c>
      <c r="C212" s="4">
        <f t="shared" si="3"/>
        <v>145</v>
      </c>
      <c r="D212" s="4">
        <v>0</v>
      </c>
      <c r="E212" s="4">
        <f>145</f>
        <v>145</v>
      </c>
      <c r="F212" s="4">
        <v>0</v>
      </c>
      <c r="G212" s="4">
        <v>0</v>
      </c>
    </row>
    <row r="213" spans="1:7" ht="15" customHeight="1">
      <c r="A213" s="14"/>
      <c r="B213" s="15" t="s">
        <v>169</v>
      </c>
      <c r="C213" s="4">
        <f t="shared" si="3"/>
        <v>145</v>
      </c>
      <c r="D213" s="4">
        <v>0</v>
      </c>
      <c r="E213" s="4">
        <v>0</v>
      </c>
      <c r="F213" s="4">
        <f>145</f>
        <v>145</v>
      </c>
      <c r="G213" s="4">
        <v>0</v>
      </c>
    </row>
    <row r="214" spans="1:7" ht="15" customHeight="1">
      <c r="A214" s="14"/>
      <c r="B214" s="15" t="s">
        <v>223</v>
      </c>
      <c r="C214" s="4">
        <f t="shared" si="3"/>
        <v>145</v>
      </c>
      <c r="D214" s="4">
        <v>0</v>
      </c>
      <c r="E214" s="4">
        <v>0</v>
      </c>
      <c r="F214" s="4">
        <v>0</v>
      </c>
      <c r="G214" s="4">
        <f>145</f>
        <v>145</v>
      </c>
    </row>
    <row r="215" spans="1:7" ht="15" customHeight="1">
      <c r="A215" s="14"/>
      <c r="B215" s="15" t="s">
        <v>132</v>
      </c>
      <c r="C215" s="4">
        <f t="shared" si="3"/>
        <v>130</v>
      </c>
      <c r="D215" s="4">
        <v>0</v>
      </c>
      <c r="E215" s="4">
        <v>0</v>
      </c>
      <c r="F215" s="4">
        <f>130</f>
        <v>130</v>
      </c>
      <c r="G215" s="4">
        <v>0</v>
      </c>
    </row>
    <row r="216" spans="1:7" ht="15" customHeight="1">
      <c r="A216" s="14"/>
      <c r="B216" s="15" t="s">
        <v>170</v>
      </c>
      <c r="C216" s="4">
        <f t="shared" si="3"/>
        <v>130</v>
      </c>
      <c r="D216" s="4">
        <v>0</v>
      </c>
      <c r="E216" s="4">
        <v>0</v>
      </c>
      <c r="F216" s="4">
        <f>130</f>
        <v>130</v>
      </c>
      <c r="G216" s="4">
        <v>0</v>
      </c>
    </row>
    <row r="217" spans="1:7" ht="15" customHeight="1">
      <c r="A217" s="14"/>
      <c r="B217" s="15" t="s">
        <v>210</v>
      </c>
      <c r="C217" s="4">
        <f t="shared" si="3"/>
        <v>130</v>
      </c>
      <c r="D217" s="4">
        <v>0</v>
      </c>
      <c r="E217" s="4">
        <v>0</v>
      </c>
      <c r="F217" s="4">
        <v>0</v>
      </c>
      <c r="G217" s="4">
        <f>130</f>
        <v>130</v>
      </c>
    </row>
    <row r="218" spans="1:7" ht="15" customHeight="1">
      <c r="A218" s="14"/>
      <c r="B218" s="15" t="s">
        <v>54</v>
      </c>
      <c r="C218" s="4">
        <f t="shared" si="3"/>
        <v>130</v>
      </c>
      <c r="D218" s="4">
        <v>0</v>
      </c>
      <c r="E218" s="4">
        <f>130</f>
        <v>130</v>
      </c>
      <c r="F218" s="4">
        <v>0</v>
      </c>
      <c r="G218" s="4">
        <v>0</v>
      </c>
    </row>
    <row r="219" spans="1:7" ht="15" customHeight="1">
      <c r="A219" s="14"/>
      <c r="B219" s="15" t="s">
        <v>71</v>
      </c>
      <c r="C219" s="4">
        <f t="shared" si="3"/>
        <v>130</v>
      </c>
      <c r="D219" s="4">
        <v>0</v>
      </c>
      <c r="E219" s="4">
        <f>130</f>
        <v>130</v>
      </c>
      <c r="F219" s="4">
        <v>0</v>
      </c>
      <c r="G219" s="4">
        <v>0</v>
      </c>
    </row>
    <row r="220" spans="1:7" ht="15" customHeight="1">
      <c r="A220" s="14"/>
      <c r="B220" s="15" t="s">
        <v>218</v>
      </c>
      <c r="C220" s="4">
        <f t="shared" si="3"/>
        <v>130</v>
      </c>
      <c r="D220" s="4">
        <v>0</v>
      </c>
      <c r="E220" s="4">
        <v>0</v>
      </c>
      <c r="F220" s="4">
        <v>0</v>
      </c>
      <c r="G220" s="4">
        <f>130</f>
        <v>130</v>
      </c>
    </row>
    <row r="221" spans="1:7" ht="15" customHeight="1">
      <c r="A221" s="14"/>
      <c r="B221" s="15" t="s">
        <v>189</v>
      </c>
      <c r="C221" s="4">
        <f t="shared" si="3"/>
        <v>130</v>
      </c>
      <c r="D221" s="4">
        <v>0</v>
      </c>
      <c r="E221" s="4">
        <v>0</v>
      </c>
      <c r="F221" s="4">
        <v>0</v>
      </c>
      <c r="G221" s="4">
        <f>130</f>
        <v>130</v>
      </c>
    </row>
    <row r="222" spans="1:7" ht="15" customHeight="1">
      <c r="A222" s="14"/>
      <c r="B222" s="15" t="s">
        <v>171</v>
      </c>
      <c r="C222" s="4">
        <f t="shared" si="3"/>
        <v>130</v>
      </c>
      <c r="D222" s="4">
        <v>0</v>
      </c>
      <c r="E222" s="4">
        <v>0</v>
      </c>
      <c r="F222" s="4">
        <f>130</f>
        <v>130</v>
      </c>
      <c r="G222" s="4">
        <v>0</v>
      </c>
    </row>
    <row r="223" spans="1:7" ht="15" customHeight="1">
      <c r="A223" s="14"/>
      <c r="B223" s="15" t="s">
        <v>133</v>
      </c>
      <c r="C223" s="4">
        <f t="shared" si="3"/>
        <v>115</v>
      </c>
      <c r="D223" s="4">
        <v>0</v>
      </c>
      <c r="E223" s="4">
        <v>0</v>
      </c>
      <c r="F223" s="4">
        <f>115</f>
        <v>115</v>
      </c>
      <c r="G223" s="4">
        <v>0</v>
      </c>
    </row>
    <row r="224" spans="1:7" ht="15" customHeight="1">
      <c r="A224" s="14"/>
      <c r="B224" s="15" t="s">
        <v>95</v>
      </c>
      <c r="C224" s="4">
        <f t="shared" si="3"/>
        <v>115</v>
      </c>
      <c r="D224" s="4">
        <v>0</v>
      </c>
      <c r="E224" s="4">
        <v>115</v>
      </c>
      <c r="F224" s="4">
        <v>0</v>
      </c>
      <c r="G224" s="4">
        <v>0</v>
      </c>
    </row>
    <row r="225" spans="1:7" ht="15" customHeight="1">
      <c r="A225" s="14"/>
      <c r="B225" s="15" t="s">
        <v>150</v>
      </c>
      <c r="C225" s="4">
        <f t="shared" si="3"/>
        <v>115</v>
      </c>
      <c r="D225" s="4">
        <v>0</v>
      </c>
      <c r="E225" s="4">
        <v>0</v>
      </c>
      <c r="F225" s="4">
        <f>115</f>
        <v>115</v>
      </c>
      <c r="G225" s="4">
        <v>0</v>
      </c>
    </row>
    <row r="226" spans="1:7" ht="15" customHeight="1">
      <c r="A226" s="14"/>
      <c r="B226" s="15" t="s">
        <v>55</v>
      </c>
      <c r="C226" s="4">
        <f t="shared" si="3"/>
        <v>115</v>
      </c>
      <c r="D226" s="4">
        <v>0</v>
      </c>
      <c r="E226" s="4">
        <f>115</f>
        <v>115</v>
      </c>
      <c r="F226" s="4">
        <v>0</v>
      </c>
      <c r="G226" s="4">
        <v>0</v>
      </c>
    </row>
    <row r="227" spans="1:7" ht="15" customHeight="1">
      <c r="A227" s="14"/>
      <c r="B227" s="15" t="s">
        <v>52</v>
      </c>
      <c r="C227" s="4">
        <f t="shared" si="3"/>
        <v>115</v>
      </c>
      <c r="D227" s="4">
        <v>0</v>
      </c>
      <c r="E227" s="4">
        <f>115</f>
        <v>115</v>
      </c>
      <c r="F227" s="4">
        <v>0</v>
      </c>
      <c r="G227" s="4">
        <v>0</v>
      </c>
    </row>
    <row r="228" spans="1:7" ht="15" customHeight="1">
      <c r="A228" s="14"/>
      <c r="B228" s="15" t="s">
        <v>106</v>
      </c>
      <c r="C228" s="4">
        <f t="shared" si="3"/>
        <v>115</v>
      </c>
      <c r="D228" s="4">
        <v>0</v>
      </c>
      <c r="E228" s="4">
        <v>0</v>
      </c>
      <c r="F228" s="4">
        <f>115</f>
        <v>115</v>
      </c>
      <c r="G228" s="4">
        <v>0</v>
      </c>
    </row>
    <row r="229" spans="1:7" ht="15" customHeight="1">
      <c r="A229" s="14"/>
      <c r="B229" s="15" t="s">
        <v>142</v>
      </c>
      <c r="C229" s="4">
        <f t="shared" si="3"/>
        <v>115</v>
      </c>
      <c r="D229" s="4">
        <v>0</v>
      </c>
      <c r="E229" s="4">
        <v>0</v>
      </c>
      <c r="F229" s="4">
        <f>115</f>
        <v>115</v>
      </c>
      <c r="G229" s="4">
        <v>0</v>
      </c>
    </row>
    <row r="230" spans="1:7" ht="15" customHeight="1">
      <c r="A230" s="14"/>
      <c r="B230" s="15" t="s">
        <v>99</v>
      </c>
      <c r="C230" s="4">
        <f t="shared" si="3"/>
        <v>115</v>
      </c>
      <c r="D230" s="4">
        <v>0</v>
      </c>
      <c r="E230" s="4">
        <v>0</v>
      </c>
      <c r="F230" s="4">
        <f>115</f>
        <v>115</v>
      </c>
      <c r="G230" s="4">
        <v>0</v>
      </c>
    </row>
    <row r="231" spans="1:7" ht="15" customHeight="1">
      <c r="A231" s="14"/>
      <c r="B231" s="15" t="s">
        <v>191</v>
      </c>
      <c r="C231" s="4">
        <f t="shared" si="3"/>
        <v>115</v>
      </c>
      <c r="D231" s="4">
        <v>0</v>
      </c>
      <c r="E231" s="4">
        <v>0</v>
      </c>
      <c r="F231" s="4">
        <v>0</v>
      </c>
      <c r="G231" s="4">
        <f>115</f>
        <v>115</v>
      </c>
    </row>
    <row r="232" spans="1:7" ht="15" customHeight="1">
      <c r="A232" s="14"/>
      <c r="B232" s="15" t="s">
        <v>72</v>
      </c>
      <c r="C232" s="4">
        <f t="shared" si="3"/>
        <v>115</v>
      </c>
      <c r="D232" s="4">
        <v>0</v>
      </c>
      <c r="E232" s="4">
        <f>115</f>
        <v>115</v>
      </c>
      <c r="F232" s="4">
        <v>0</v>
      </c>
      <c r="G232" s="4">
        <v>0</v>
      </c>
    </row>
    <row r="233" spans="1:7" ht="15" customHeight="1">
      <c r="A233" s="14"/>
      <c r="B233" s="15" t="s">
        <v>60</v>
      </c>
      <c r="C233" s="4">
        <f t="shared" si="3"/>
        <v>115</v>
      </c>
      <c r="D233" s="4">
        <v>0</v>
      </c>
      <c r="E233" s="4">
        <f>115</f>
        <v>115</v>
      </c>
      <c r="F233" s="4">
        <v>0</v>
      </c>
      <c r="G233" s="4">
        <v>0</v>
      </c>
    </row>
    <row r="234" spans="1:7" ht="15" customHeight="1">
      <c r="A234" s="14"/>
      <c r="B234" s="15" t="s">
        <v>157</v>
      </c>
      <c r="C234" s="4">
        <f t="shared" si="3"/>
        <v>115</v>
      </c>
      <c r="D234" s="4">
        <v>0</v>
      </c>
      <c r="E234" s="4">
        <v>0</v>
      </c>
      <c r="F234" s="4">
        <f>115</f>
        <v>115</v>
      </c>
      <c r="G234" s="4">
        <v>0</v>
      </c>
    </row>
    <row r="235" spans="1:7" ht="15">
      <c r="A235" s="10"/>
      <c r="B235" s="8"/>
      <c r="C235" s="11"/>
      <c r="D235" s="11"/>
      <c r="E235" s="11"/>
      <c r="F235" s="11"/>
      <c r="G235" s="11"/>
    </row>
    <row r="236" spans="1:7" ht="18.75" customHeight="1">
      <c r="A236" s="30" t="s">
        <v>3</v>
      </c>
      <c r="B236" s="30"/>
      <c r="C236" s="30"/>
      <c r="D236" s="5"/>
      <c r="E236" s="5"/>
      <c r="F236" s="5"/>
      <c r="G236" s="5"/>
    </row>
    <row r="237" spans="1:7" ht="18.75" customHeight="1">
      <c r="A237" s="31" t="s">
        <v>4</v>
      </c>
      <c r="B237" s="32"/>
      <c r="C237" s="32"/>
      <c r="D237" s="6"/>
      <c r="E237" s="6"/>
      <c r="F237" s="6"/>
      <c r="G237" s="6"/>
    </row>
    <row r="238" spans="1:7" ht="18.75" customHeight="1">
      <c r="A238" s="33" t="s">
        <v>5</v>
      </c>
      <c r="B238" s="34"/>
      <c r="C238" s="34"/>
      <c r="D238" s="7"/>
      <c r="E238" s="7"/>
      <c r="F238" s="7"/>
      <c r="G238" s="7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</sheetData>
  <sheetProtection/>
  <mergeCells count="9">
    <mergeCell ref="A236:C236"/>
    <mergeCell ref="A237:C237"/>
    <mergeCell ref="A238:C238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2020-08-10T09:11:35Z</cp:lastPrinted>
  <dcterms:created xsi:type="dcterms:W3CDTF">2013-12-12T05:08:35Z</dcterms:created>
  <dcterms:modified xsi:type="dcterms:W3CDTF">2021-09-15T08:19:43Z</dcterms:modified>
  <cp:category/>
  <cp:version/>
  <cp:contentType/>
  <cp:contentStatus/>
</cp:coreProperties>
</file>